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3"/>
  </bookViews>
  <sheets>
    <sheet name="Ejercicio 1" sheetId="1" r:id="rId1"/>
    <sheet name="Ejercicio 2 mensual" sheetId="2" r:id="rId2"/>
    <sheet name="Ejercicio 2" sheetId="3" r:id="rId3"/>
    <sheet name="Ejercicio 3" sheetId="4" r:id="rId4"/>
  </sheets>
  <definedNames>
    <definedName name="_xlnm.Print_Area" localSheetId="0">'Ejercicio 1'!$A$2:$I$32</definedName>
  </definedNames>
  <calcPr fullCalcOnLoad="1"/>
</workbook>
</file>

<file path=xl/comments1.xml><?xml version="1.0" encoding="utf-8"?>
<comments xmlns="http://schemas.openxmlformats.org/spreadsheetml/2006/main">
  <authors>
    <author>Miguel Angel Pe?a</author>
  </authors>
  <commentList>
    <comment ref="G6" authorId="0">
      <text>
        <r>
          <rPr>
            <b/>
            <sz val="8"/>
            <rFont val="Tahoma"/>
            <family val="0"/>
          </rPr>
          <t>Hay deducción por Inversión</t>
        </r>
      </text>
    </comment>
  </commentList>
</comments>
</file>

<file path=xl/comments2.xml><?xml version="1.0" encoding="utf-8"?>
<comments xmlns="http://schemas.openxmlformats.org/spreadsheetml/2006/main">
  <authors>
    <author>Miguel Angel Pe?a</author>
  </authors>
  <commentList>
    <comment ref="G6" authorId="0">
      <text>
        <r>
          <rPr>
            <b/>
            <sz val="8"/>
            <rFont val="Tahoma"/>
            <family val="0"/>
          </rPr>
          <t>Hay deducción por Inversión</t>
        </r>
      </text>
    </comment>
  </commentList>
</comments>
</file>

<file path=xl/comments3.xml><?xml version="1.0" encoding="utf-8"?>
<comments xmlns="http://schemas.openxmlformats.org/spreadsheetml/2006/main">
  <authors>
    <author>Miguel Angel Pe?a</author>
  </authors>
  <commentList>
    <comment ref="G6" authorId="0">
      <text>
        <r>
          <rPr>
            <b/>
            <sz val="8"/>
            <rFont val="Tahoma"/>
            <family val="0"/>
          </rPr>
          <t>Hay deducción por Inversión</t>
        </r>
      </text>
    </comment>
  </commentList>
</comments>
</file>

<file path=xl/comments4.xml><?xml version="1.0" encoding="utf-8"?>
<comments xmlns="http://schemas.openxmlformats.org/spreadsheetml/2006/main">
  <authors>
    <author>Miguel Angel Pe?a</author>
  </authors>
  <commentList>
    <comment ref="F5" authorId="0">
      <text>
        <r>
          <rPr>
            <b/>
            <sz val="8"/>
            <rFont val="Tahoma"/>
            <family val="0"/>
          </rPr>
          <t>La máquina nueva, en cualquiera de los casos, se va a adquirir. La diferencia entre el Leasing y el Préstamo estriba en la posesión o no de la máquina antigüa, y sobre ella se calculará la dotación a la amortización. Y sobre este dato se calcula el límite de deducción por amortización en el Leasing.</t>
        </r>
      </text>
    </comment>
  </commentList>
</comments>
</file>

<file path=xl/sharedStrings.xml><?xml version="1.0" encoding="utf-8"?>
<sst xmlns="http://schemas.openxmlformats.org/spreadsheetml/2006/main" count="96" uniqueCount="28">
  <si>
    <t>M</t>
  </si>
  <si>
    <t>A</t>
  </si>
  <si>
    <t>I</t>
  </si>
  <si>
    <t>Dot. Amort.</t>
  </si>
  <si>
    <t>Pte. de Amort.</t>
  </si>
  <si>
    <t>Ahorro Impositivo</t>
  </si>
  <si>
    <t>Pago Neto</t>
  </si>
  <si>
    <t>PRESTAMO (9%)</t>
  </si>
  <si>
    <t>Actual. (10%)</t>
  </si>
  <si>
    <t>VAP =</t>
  </si>
  <si>
    <t>LEASING (12%)</t>
  </si>
  <si>
    <t>Dot. Amort. (MÁX) = 3 X 1.000.000 = 3.000.000 EUROS</t>
  </si>
  <si>
    <t>Amort. deducible</t>
  </si>
  <si>
    <t>El VAP del Préstamo es superior al del Leasing, por lo tanto, como el "premio" es el mismo,</t>
  </si>
  <si>
    <r>
      <t xml:space="preserve">será más rentable, menos costoso, financiar el uso de la máquina mediante el </t>
    </r>
    <r>
      <rPr>
        <b/>
        <sz val="10"/>
        <rFont val="Arial"/>
        <family val="2"/>
      </rPr>
      <t>LEASING</t>
    </r>
    <r>
      <rPr>
        <sz val="10"/>
        <rFont val="Arial"/>
        <family val="0"/>
      </rPr>
      <t>.</t>
    </r>
  </si>
  <si>
    <t>PRESTAMO (8%)</t>
  </si>
  <si>
    <t>LEASE-BACK (10%)</t>
  </si>
  <si>
    <t>Dot. Amort. (MÁX) = 2 X 8.000.000 = 16.000.000 EUROS</t>
  </si>
  <si>
    <t>PRESTAMO (10%)</t>
  </si>
  <si>
    <t>Dot. Amort. (MÁX) = 2 X 1.000.000 = 2.000.000 EUROS</t>
  </si>
  <si>
    <t>Actual. (11%)</t>
  </si>
  <si>
    <t>ejercicio 2</t>
  </si>
  <si>
    <t>ejercicio 3</t>
  </si>
  <si>
    <t>M (37 cuotas)</t>
  </si>
  <si>
    <t>i mensual =</t>
  </si>
  <si>
    <t>Cuota Interés anual</t>
  </si>
  <si>
    <t>Cuota Amor. anual</t>
  </si>
  <si>
    <t>Dot. Amort. (MÁX) = 2 X 125.000 = 250.000 EUROS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</si>
</sst>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0.0%"/>
    <numFmt numFmtId="175" formatCode="0.0"/>
    <numFmt numFmtId="17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15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15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7" xfId="15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9" xfId="15" applyBorder="1" applyAlignment="1">
      <alignment/>
    </xf>
    <xf numFmtId="173" fontId="0" fillId="0" borderId="9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15" applyBorder="1" applyAlignment="1">
      <alignment/>
    </xf>
    <xf numFmtId="0" fontId="1" fillId="2" borderId="1" xfId="0" applyFont="1" applyFill="1" applyBorder="1" applyAlignment="1">
      <alignment horizontal="right"/>
    </xf>
    <xf numFmtId="172" fontId="1" fillId="2" borderId="3" xfId="15" applyFont="1" applyFill="1" applyBorder="1" applyAlignment="1">
      <alignment/>
    </xf>
    <xf numFmtId="172" fontId="0" fillId="0" borderId="11" xfId="15" applyBorder="1" applyAlignment="1">
      <alignment/>
    </xf>
    <xf numFmtId="173" fontId="0" fillId="0" borderId="12" xfId="0" applyNumberFormat="1" applyBorder="1" applyAlignment="1">
      <alignment/>
    </xf>
    <xf numFmtId="172" fontId="0" fillId="0" borderId="12" xfId="15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15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16" xfId="15" applyBorder="1" applyAlignment="1">
      <alignment/>
    </xf>
    <xf numFmtId="173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15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72" fontId="0" fillId="0" borderId="12" xfId="15" applyFill="1" applyBorder="1" applyAlignment="1">
      <alignment/>
    </xf>
    <xf numFmtId="172" fontId="0" fillId="0" borderId="7" xfId="15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20" applyNumberFormat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="110" zoomScaleNormal="11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3.140625" style="0" bestFit="1" customWidth="1"/>
    <col min="2" max="2" width="14.7109375" style="0" customWidth="1"/>
    <col min="3" max="3" width="14.7109375" style="0" bestFit="1" customWidth="1"/>
    <col min="4" max="4" width="15.421875" style="0" customWidth="1"/>
    <col min="5" max="5" width="15.7109375" style="0" bestFit="1" customWidth="1"/>
    <col min="6" max="6" width="16.8515625" style="0" bestFit="1" customWidth="1"/>
    <col min="7" max="7" width="17.28125" style="0" bestFit="1" customWidth="1"/>
    <col min="8" max="8" width="14.7109375" style="0" bestFit="1" customWidth="1"/>
    <col min="9" max="9" width="15.57421875" style="0" bestFit="1" customWidth="1"/>
  </cols>
  <sheetData>
    <row r="2" ht="13.5" thickBot="1">
      <c r="B2" s="3" t="s">
        <v>7</v>
      </c>
    </row>
    <row r="3" spans="2:9" s="3" customFormat="1" ht="13.5" thickBot="1">
      <c r="B3" s="7" t="s">
        <v>0</v>
      </c>
      <c r="C3" s="8" t="s">
        <v>2</v>
      </c>
      <c r="D3" s="8" t="s">
        <v>1</v>
      </c>
      <c r="E3" s="8" t="s">
        <v>4</v>
      </c>
      <c r="F3" s="8" t="s">
        <v>3</v>
      </c>
      <c r="G3" s="8" t="s">
        <v>5</v>
      </c>
      <c r="H3" s="8" t="s">
        <v>6</v>
      </c>
      <c r="I3" s="9" t="s">
        <v>8</v>
      </c>
    </row>
    <row r="4" spans="1:9" ht="12.75">
      <c r="A4" s="10">
        <v>0</v>
      </c>
      <c r="B4" s="13"/>
      <c r="C4" s="13"/>
      <c r="D4" s="13"/>
      <c r="E4" s="14">
        <v>10000000</v>
      </c>
      <c r="F4" s="13"/>
      <c r="G4" s="13"/>
      <c r="H4" s="27">
        <f>+B4-G4</f>
        <v>0</v>
      </c>
      <c r="I4" s="28">
        <f>+H4*1.1^-A4</f>
        <v>0</v>
      </c>
    </row>
    <row r="5" spans="1:9" ht="12.75">
      <c r="A5" s="11">
        <v>1</v>
      </c>
      <c r="B5" s="23">
        <f>+$E$4/((1-1.09^-3)/0.09)</f>
        <v>3950547.573289404</v>
      </c>
      <c r="C5" s="24">
        <f>+(E4)*0.09</f>
        <v>900000</v>
      </c>
      <c r="D5" s="25">
        <f>+B5-C5</f>
        <v>3050547.573289404</v>
      </c>
      <c r="E5" s="25">
        <f>+E4-D5</f>
        <v>6949452.426710596</v>
      </c>
      <c r="F5" s="25">
        <f>+$E$4*0.1</f>
        <v>1000000</v>
      </c>
      <c r="G5" s="24">
        <f>0.05*E4</f>
        <v>500000</v>
      </c>
      <c r="H5" s="27">
        <f>+B5-G5</f>
        <v>3450547.573289404</v>
      </c>
      <c r="I5" s="28">
        <f>+H5*1.1^-A5</f>
        <v>3136861.4302630946</v>
      </c>
    </row>
    <row r="6" spans="1:9" ht="12.75">
      <c r="A6" s="11">
        <v>2</v>
      </c>
      <c r="B6" s="23">
        <f>+$E$4/((1-1.09^-3)/0.09)</f>
        <v>3950547.573289404</v>
      </c>
      <c r="C6" s="24">
        <f>+(E5)*0.09</f>
        <v>625450.7184039536</v>
      </c>
      <c r="D6" s="25">
        <f>+B6-C6</f>
        <v>3325096.8548854506</v>
      </c>
      <c r="E6" s="25">
        <f>+E5-D6</f>
        <v>3624355.5718251457</v>
      </c>
      <c r="F6" s="25">
        <f aca="true" t="shared" si="0" ref="F6:F14">+$E$4*0.1</f>
        <v>1000000</v>
      </c>
      <c r="G6" s="24">
        <f>0.35*(C5+F5)</f>
        <v>665000</v>
      </c>
      <c r="H6" s="27">
        <f>+B6-G6</f>
        <v>3285547.573289404</v>
      </c>
      <c r="I6" s="28">
        <f aca="true" t="shared" si="1" ref="I6:I15">+H6*1.1^-A6</f>
        <v>2715328.5729664494</v>
      </c>
    </row>
    <row r="7" spans="1:9" ht="12.75">
      <c r="A7" s="11">
        <v>3</v>
      </c>
      <c r="B7" s="23">
        <f>+$E$4/((1-1.09^-3)/0.09)</f>
        <v>3950547.573289404</v>
      </c>
      <c r="C7" s="24">
        <f>+(E6)*0.09</f>
        <v>326192.0014642631</v>
      </c>
      <c r="D7" s="25">
        <f>+B7-C7</f>
        <v>3624355.571825141</v>
      </c>
      <c r="E7" s="25">
        <f>+E6-D7</f>
        <v>4.6566128730773926E-09</v>
      </c>
      <c r="F7" s="25">
        <f t="shared" si="0"/>
        <v>1000000</v>
      </c>
      <c r="G7" s="24">
        <f>0.35*(C6+F6)</f>
        <v>568907.7514413837</v>
      </c>
      <c r="H7" s="27">
        <f aca="true" t="shared" si="2" ref="H7:H15">+B7-G7</f>
        <v>3381639.8218480204</v>
      </c>
      <c r="I7" s="28">
        <f t="shared" si="1"/>
        <v>2540676.0494725914</v>
      </c>
    </row>
    <row r="8" spans="1:9" ht="12.75">
      <c r="A8" s="11">
        <v>4</v>
      </c>
      <c r="B8" s="29"/>
      <c r="C8" s="26"/>
      <c r="D8" s="26"/>
      <c r="E8" s="26"/>
      <c r="F8" s="25">
        <f t="shared" si="0"/>
        <v>1000000</v>
      </c>
      <c r="G8" s="24">
        <f aca="true" t="shared" si="3" ref="G8:G15">0.35*(C7+F7)</f>
        <v>464167.20051249204</v>
      </c>
      <c r="H8" s="27">
        <f t="shared" si="2"/>
        <v>-464167.20051249204</v>
      </c>
      <c r="I8" s="28">
        <f t="shared" si="1"/>
        <v>-317032.4434891687</v>
      </c>
    </row>
    <row r="9" spans="1:9" ht="12.75">
      <c r="A9" s="11">
        <v>5</v>
      </c>
      <c r="B9" s="29"/>
      <c r="C9" s="26"/>
      <c r="D9" s="26"/>
      <c r="E9" s="26"/>
      <c r="F9" s="25">
        <f t="shared" si="0"/>
        <v>1000000</v>
      </c>
      <c r="G9" s="24">
        <f t="shared" si="3"/>
        <v>350000</v>
      </c>
      <c r="H9" s="27">
        <f t="shared" si="2"/>
        <v>-350000</v>
      </c>
      <c r="I9" s="28">
        <f t="shared" si="1"/>
        <v>-217322.46307070422</v>
      </c>
    </row>
    <row r="10" spans="1:9" ht="12.75">
      <c r="A10" s="11">
        <v>6</v>
      </c>
      <c r="B10" s="29"/>
      <c r="C10" s="26"/>
      <c r="D10" s="26"/>
      <c r="E10" s="26"/>
      <c r="F10" s="25">
        <f t="shared" si="0"/>
        <v>1000000</v>
      </c>
      <c r="G10" s="24">
        <f t="shared" si="3"/>
        <v>350000</v>
      </c>
      <c r="H10" s="27">
        <f t="shared" si="2"/>
        <v>-350000</v>
      </c>
      <c r="I10" s="28">
        <f t="shared" si="1"/>
        <v>-197565.87551882202</v>
      </c>
    </row>
    <row r="11" spans="1:9" ht="12.75">
      <c r="A11" s="11">
        <v>7</v>
      </c>
      <c r="B11" s="29"/>
      <c r="C11" s="26"/>
      <c r="D11" s="26"/>
      <c r="E11" s="25"/>
      <c r="F11" s="25">
        <f t="shared" si="0"/>
        <v>1000000</v>
      </c>
      <c r="G11" s="24">
        <f t="shared" si="3"/>
        <v>350000</v>
      </c>
      <c r="H11" s="27">
        <f t="shared" si="2"/>
        <v>-350000</v>
      </c>
      <c r="I11" s="28">
        <f t="shared" si="1"/>
        <v>-179605.34138074727</v>
      </c>
    </row>
    <row r="12" spans="1:9" ht="12.75">
      <c r="A12" s="11">
        <v>8</v>
      </c>
      <c r="B12" s="29"/>
      <c r="C12" s="26"/>
      <c r="D12" s="26"/>
      <c r="E12" s="26"/>
      <c r="F12" s="25">
        <f t="shared" si="0"/>
        <v>1000000</v>
      </c>
      <c r="G12" s="24">
        <f t="shared" si="3"/>
        <v>350000</v>
      </c>
      <c r="H12" s="27">
        <f t="shared" si="2"/>
        <v>-350000</v>
      </c>
      <c r="I12" s="28">
        <f t="shared" si="1"/>
        <v>-163277.5830734066</v>
      </c>
    </row>
    <row r="13" spans="1:9" ht="12.75">
      <c r="A13" s="11">
        <v>9</v>
      </c>
      <c r="B13" s="29"/>
      <c r="C13" s="26"/>
      <c r="D13" s="26"/>
      <c r="E13" s="26"/>
      <c r="F13" s="25">
        <f t="shared" si="0"/>
        <v>1000000</v>
      </c>
      <c r="G13" s="24">
        <f t="shared" si="3"/>
        <v>350000</v>
      </c>
      <c r="H13" s="27">
        <f t="shared" si="2"/>
        <v>-350000</v>
      </c>
      <c r="I13" s="28">
        <f t="shared" si="1"/>
        <v>-148434.16643036963</v>
      </c>
    </row>
    <row r="14" spans="1:9" ht="12.75">
      <c r="A14" s="11">
        <v>10</v>
      </c>
      <c r="B14" s="29"/>
      <c r="C14" s="26"/>
      <c r="D14" s="26"/>
      <c r="E14" s="26"/>
      <c r="F14" s="25">
        <f t="shared" si="0"/>
        <v>1000000</v>
      </c>
      <c r="G14" s="24">
        <f t="shared" si="3"/>
        <v>350000</v>
      </c>
      <c r="H14" s="27">
        <f t="shared" si="2"/>
        <v>-350000</v>
      </c>
      <c r="I14" s="28">
        <f t="shared" si="1"/>
        <v>-134940.15130033603</v>
      </c>
    </row>
    <row r="15" spans="1:9" ht="13.5" thickBot="1">
      <c r="A15" s="12">
        <v>11</v>
      </c>
      <c r="B15" s="16"/>
      <c r="C15" s="16"/>
      <c r="D15" s="16"/>
      <c r="E15" s="16"/>
      <c r="F15" s="17"/>
      <c r="G15" s="18">
        <f t="shared" si="3"/>
        <v>350000</v>
      </c>
      <c r="H15" s="19">
        <f t="shared" si="2"/>
        <v>-350000</v>
      </c>
      <c r="I15" s="20">
        <f t="shared" si="1"/>
        <v>-122672.86481848727</v>
      </c>
    </row>
    <row r="16" spans="6:7" ht="13.5" thickBot="1">
      <c r="F16" s="1"/>
      <c r="G16" s="2"/>
    </row>
    <row r="17" spans="6:9" ht="13.5" thickBot="1">
      <c r="F17" s="1"/>
      <c r="G17" s="2"/>
      <c r="H17" s="21" t="s">
        <v>9</v>
      </c>
      <c r="I17" s="22">
        <f>SUM(I4:I15)</f>
        <v>6912015.163620092</v>
      </c>
    </row>
    <row r="18" ht="12.75">
      <c r="G18" s="2"/>
    </row>
    <row r="19" spans="2:4" ht="13.5" thickBot="1">
      <c r="B19" s="3" t="s">
        <v>10</v>
      </c>
      <c r="D19" s="3" t="s">
        <v>11</v>
      </c>
    </row>
    <row r="20" spans="1:9" ht="13.5" thickBot="1">
      <c r="A20" s="3"/>
      <c r="B20" s="7" t="s">
        <v>0</v>
      </c>
      <c r="C20" s="8" t="s">
        <v>2</v>
      </c>
      <c r="D20" s="8" t="s">
        <v>1</v>
      </c>
      <c r="E20" s="8" t="s">
        <v>4</v>
      </c>
      <c r="F20" s="8" t="s">
        <v>12</v>
      </c>
      <c r="G20" s="8" t="s">
        <v>5</v>
      </c>
      <c r="H20" s="8" t="s">
        <v>6</v>
      </c>
      <c r="I20" s="9" t="s">
        <v>8</v>
      </c>
    </row>
    <row r="21" spans="1:9" ht="13.5" thickBot="1">
      <c r="A21" s="10">
        <v>0</v>
      </c>
      <c r="B21" s="30"/>
      <c r="C21" s="13"/>
      <c r="D21" s="13"/>
      <c r="E21" s="14">
        <v>10000000</v>
      </c>
      <c r="F21" s="13"/>
      <c r="G21" s="13"/>
      <c r="H21" s="27">
        <f aca="true" t="shared" si="4" ref="H21:H26">+B21-G21</f>
        <v>0</v>
      </c>
      <c r="I21" s="28">
        <f aca="true" t="shared" si="5" ref="I21:I26">+H21*1.1^-A21</f>
        <v>0</v>
      </c>
    </row>
    <row r="22" spans="1:9" ht="12.75">
      <c r="A22" s="11">
        <v>1</v>
      </c>
      <c r="B22" s="23">
        <f>+$E$4/((1-1.12^-3)/0.12)</f>
        <v>4163489.8055950655</v>
      </c>
      <c r="C22" s="24">
        <f>+(E21)*0.12</f>
        <v>1200000</v>
      </c>
      <c r="D22" s="25">
        <f>+B22-C22</f>
        <v>2963489.8055950655</v>
      </c>
      <c r="E22" s="25">
        <f>+E21-D22</f>
        <v>7036510.1944049345</v>
      </c>
      <c r="F22" s="25">
        <f>+D22</f>
        <v>2963489.8055950655</v>
      </c>
      <c r="G22" s="13">
        <f>+E21*0.05</f>
        <v>500000</v>
      </c>
      <c r="H22" s="27">
        <f>+B22-G22</f>
        <v>3663489.8055950655</v>
      </c>
      <c r="I22" s="28">
        <f t="shared" si="5"/>
        <v>3330445.277813696</v>
      </c>
    </row>
    <row r="23" spans="1:9" ht="12.75">
      <c r="A23" s="11">
        <v>2</v>
      </c>
      <c r="B23" s="23">
        <f>+$E$4/((1-1.12^-3)/0.12)</f>
        <v>4163489.8055950655</v>
      </c>
      <c r="C23" s="24">
        <f>+(E22)*0.12</f>
        <v>844381.2233285921</v>
      </c>
      <c r="D23" s="25">
        <f>+B23-C23</f>
        <v>3319108.582266473</v>
      </c>
      <c r="E23" s="25">
        <f>+E22-D23</f>
        <v>3717401.6121384613</v>
      </c>
      <c r="F23" s="25">
        <f>+$E$4*0.1*3</f>
        <v>3000000</v>
      </c>
      <c r="G23" s="24">
        <f>0.35*(C22+F22)</f>
        <v>1457221.4319582728</v>
      </c>
      <c r="H23" s="27">
        <f>+B23-G23</f>
        <v>2706268.3736367924</v>
      </c>
      <c r="I23" s="28">
        <f t="shared" si="5"/>
        <v>2236585.4327576794</v>
      </c>
    </row>
    <row r="24" spans="1:9" ht="12.75">
      <c r="A24" s="11">
        <v>3</v>
      </c>
      <c r="B24" s="23">
        <f>+$E$4/((1-1.12^-3)/0.12)</f>
        <v>4163489.8055950655</v>
      </c>
      <c r="C24" s="24">
        <f>+(E23)*0.12</f>
        <v>446088.1934566153</v>
      </c>
      <c r="D24" s="25">
        <f>+B24-C24</f>
        <v>3717401.61213845</v>
      </c>
      <c r="E24" s="25">
        <f>+E23-D24</f>
        <v>1.1175870895385742E-08</v>
      </c>
      <c r="F24" s="25">
        <f>+$E$4*0.1*3</f>
        <v>3000000</v>
      </c>
      <c r="G24" s="24">
        <f>0.35*(C23+F23)</f>
        <v>1345533.4281650071</v>
      </c>
      <c r="H24" s="27">
        <f>+B24-G24</f>
        <v>2817956.377430058</v>
      </c>
      <c r="I24" s="28">
        <f t="shared" si="5"/>
        <v>2117172.334658195</v>
      </c>
    </row>
    <row r="25" spans="1:9" ht="12.75">
      <c r="A25" s="11">
        <v>4</v>
      </c>
      <c r="B25" s="29"/>
      <c r="C25" s="26"/>
      <c r="D25" s="26"/>
      <c r="E25" s="26"/>
      <c r="F25" s="25">
        <f>+E21-SUM(F22:F24)</f>
        <v>1036510.1944049336</v>
      </c>
      <c r="G25" s="24">
        <f>0.35*(C24+F24)</f>
        <v>1206130.8677098153</v>
      </c>
      <c r="H25" s="27">
        <f t="shared" si="4"/>
        <v>-1206130.8677098153</v>
      </c>
      <c r="I25" s="28">
        <f t="shared" si="5"/>
        <v>-823803.6115769517</v>
      </c>
    </row>
    <row r="26" spans="1:9" ht="13.5" thickBot="1">
      <c r="A26" s="12">
        <v>5</v>
      </c>
      <c r="B26" s="31"/>
      <c r="C26" s="16"/>
      <c r="D26" s="16"/>
      <c r="E26" s="16"/>
      <c r="F26" s="17"/>
      <c r="G26" s="18">
        <f>0.35*(C25+F25)</f>
        <v>362778.5680417267</v>
      </c>
      <c r="H26" s="19">
        <f t="shared" si="4"/>
        <v>-362778.5680417267</v>
      </c>
      <c r="I26" s="20">
        <f t="shared" si="5"/>
        <v>-225256.94844597462</v>
      </c>
    </row>
    <row r="27" spans="6:9" ht="13.5" thickBot="1">
      <c r="F27" s="1"/>
      <c r="G27" s="2"/>
      <c r="H27" s="4"/>
      <c r="I27" s="1"/>
    </row>
    <row r="28" spans="6:9" ht="13.5" thickBot="1">
      <c r="F28" s="1"/>
      <c r="G28" s="2"/>
      <c r="H28" s="21" t="s">
        <v>9</v>
      </c>
      <c r="I28" s="22">
        <f>SUM(I21:I26)</f>
        <v>6635142.485206642</v>
      </c>
    </row>
    <row r="29" spans="6:9" ht="12.75">
      <c r="F29" s="1"/>
      <c r="G29" s="2"/>
      <c r="H29" s="4"/>
      <c r="I29" s="1"/>
    </row>
    <row r="30" spans="6:9" ht="12.75">
      <c r="F30" s="1"/>
      <c r="G30" s="2"/>
      <c r="H30" s="4"/>
      <c r="I30" s="1"/>
    </row>
    <row r="31" spans="4:9" ht="12.75">
      <c r="D31" t="s">
        <v>13</v>
      </c>
      <c r="F31" s="1"/>
      <c r="G31" s="2"/>
      <c r="H31" s="4"/>
      <c r="I31" s="1"/>
    </row>
    <row r="32" spans="4:9" ht="12.75">
      <c r="D32" t="s">
        <v>14</v>
      </c>
      <c r="F32" s="1"/>
      <c r="G32" s="2"/>
      <c r="H32" s="4"/>
      <c r="I32" s="1"/>
    </row>
    <row r="33" spans="6:7" ht="12.75">
      <c r="F33" s="1"/>
      <c r="G33" s="2"/>
    </row>
    <row r="34" spans="6:9" ht="12.75">
      <c r="F34" s="1"/>
      <c r="G34" s="2"/>
      <c r="H34" s="6"/>
      <c r="I34" s="5"/>
    </row>
  </sheetData>
  <printOptions/>
  <pageMargins left="0.7" right="0.75" top="0.84" bottom="1" header="0.32" footer="0"/>
  <pageSetup horizontalDpi="300" verticalDpi="300" orientation="landscape" paperSize="9" r:id="rId3"/>
  <headerFooter alignWithMargins="0">
    <oddHeader>&amp;CEJERCICIO 1.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F1" sqref="F1"/>
    </sheetView>
  </sheetViews>
  <sheetFormatPr defaultColWidth="11.421875" defaultRowHeight="12.75"/>
  <cols>
    <col min="1" max="1" width="3.00390625" style="0" bestFit="1" customWidth="1"/>
    <col min="2" max="2" width="16.7109375" style="0" bestFit="1" customWidth="1"/>
    <col min="3" max="3" width="12.8515625" style="0" bestFit="1" customWidth="1"/>
    <col min="4" max="4" width="14.00390625" style="0" customWidth="1"/>
    <col min="5" max="5" width="14.421875" style="0" bestFit="1" customWidth="1"/>
    <col min="6" max="6" width="13.7109375" style="0" customWidth="1"/>
    <col min="7" max="7" width="18.140625" style="0" bestFit="1" customWidth="1"/>
    <col min="8" max="8" width="12.8515625" style="0" bestFit="1" customWidth="1"/>
    <col min="9" max="9" width="16.7109375" style="0" bestFit="1" customWidth="1"/>
    <col min="10" max="10" width="17.140625" style="0" bestFit="1" customWidth="1"/>
    <col min="11" max="11" width="10.421875" style="0" bestFit="1" customWidth="1"/>
    <col min="12" max="12" width="12.421875" style="0" bestFit="1" customWidth="1"/>
  </cols>
  <sheetData>
    <row r="1" ht="12.75">
      <c r="E1" s="42" t="s">
        <v>21</v>
      </c>
    </row>
    <row r="2" ht="13.5" thickBot="1">
      <c r="B2" s="3" t="s">
        <v>18</v>
      </c>
    </row>
    <row r="3" spans="2:9" s="3" customFormat="1" ht="13.5" thickBot="1">
      <c r="B3" s="7" t="s">
        <v>0</v>
      </c>
      <c r="C3" s="8" t="s">
        <v>2</v>
      </c>
      <c r="D3" s="8" t="s">
        <v>1</v>
      </c>
      <c r="E3" s="8" t="s">
        <v>4</v>
      </c>
      <c r="F3" s="8" t="s">
        <v>3</v>
      </c>
      <c r="G3" s="8" t="s">
        <v>5</v>
      </c>
      <c r="H3" s="8" t="s">
        <v>6</v>
      </c>
      <c r="I3" s="9" t="s">
        <v>20</v>
      </c>
    </row>
    <row r="4" spans="1:9" ht="12.75">
      <c r="A4" s="10">
        <v>0</v>
      </c>
      <c r="B4" s="13"/>
      <c r="C4" s="13"/>
      <c r="D4" s="13"/>
      <c r="E4" s="14">
        <v>1000000</v>
      </c>
      <c r="F4" s="13"/>
      <c r="G4" s="13"/>
      <c r="H4" s="27">
        <v>10000</v>
      </c>
      <c r="I4" s="28">
        <f aca="true" t="shared" si="0" ref="I4:I15">+H4*1.11^-A4</f>
        <v>10000</v>
      </c>
    </row>
    <row r="5" spans="1:9" ht="12.75">
      <c r="A5" s="11">
        <v>1</v>
      </c>
      <c r="B5" s="23">
        <f>+$E$4/((1-1.1^-3)/0.1)</f>
        <v>402114.8036253773</v>
      </c>
      <c r="C5" s="24">
        <f>+(E4)*0.1</f>
        <v>100000</v>
      </c>
      <c r="D5" s="25">
        <f>+B5-C5</f>
        <v>302114.8036253773</v>
      </c>
      <c r="E5" s="25">
        <f>+E4-D5</f>
        <v>697885.1963746226</v>
      </c>
      <c r="F5" s="25">
        <f>+$E$4*0.125</f>
        <v>125000</v>
      </c>
      <c r="G5" s="24">
        <f>+(I4)*0.35+0.05*E4</f>
        <v>53500</v>
      </c>
      <c r="H5" s="27">
        <f>+B5-G5</f>
        <v>348614.8036253773</v>
      </c>
      <c r="I5" s="28">
        <f t="shared" si="0"/>
        <v>314067.39065349306</v>
      </c>
    </row>
    <row r="6" spans="1:9" ht="12.75">
      <c r="A6" s="11">
        <v>2</v>
      </c>
      <c r="B6" s="23">
        <f>+$E$4/((1-1.1^-3)/0.1)</f>
        <v>402114.8036253773</v>
      </c>
      <c r="C6" s="24">
        <f>+(E5)*0.1</f>
        <v>69788.51963746226</v>
      </c>
      <c r="D6" s="25">
        <f>+B6-C6</f>
        <v>332326.283987915</v>
      </c>
      <c r="E6" s="25">
        <f>+E5-D6</f>
        <v>365558.9123867076</v>
      </c>
      <c r="F6" s="25">
        <f aca="true" t="shared" si="1" ref="F6:F12">+$E$4*0.125</f>
        <v>125000</v>
      </c>
      <c r="G6" s="24">
        <f>0.35*(C5+F5)</f>
        <v>78750</v>
      </c>
      <c r="H6" s="27">
        <f aca="true" t="shared" si="2" ref="H6:H15">+B6-G6</f>
        <v>323364.8036253773</v>
      </c>
      <c r="I6" s="28">
        <f t="shared" si="0"/>
        <v>262450.12874391465</v>
      </c>
    </row>
    <row r="7" spans="1:9" ht="12.75">
      <c r="A7" s="11">
        <v>3</v>
      </c>
      <c r="B7" s="23">
        <f>+$E$4/((1-1.1^-3)/0.1)</f>
        <v>402114.8036253773</v>
      </c>
      <c r="C7" s="24">
        <f>+(E6)*0.1</f>
        <v>36555.89123867076</v>
      </c>
      <c r="D7" s="25">
        <f>+B7-C7</f>
        <v>365558.91238670656</v>
      </c>
      <c r="E7" s="25">
        <f>+E6-D7</f>
        <v>1.0477378964424133E-09</v>
      </c>
      <c r="F7" s="25">
        <f t="shared" si="1"/>
        <v>125000</v>
      </c>
      <c r="G7" s="24">
        <f>0.35*(C6+F6)</f>
        <v>68175.9818731118</v>
      </c>
      <c r="H7" s="27">
        <f t="shared" si="2"/>
        <v>333938.8217522655</v>
      </c>
      <c r="I7" s="28">
        <f t="shared" si="0"/>
        <v>244173.1883470508</v>
      </c>
    </row>
    <row r="8" spans="1:9" ht="12.75">
      <c r="A8" s="11">
        <v>4</v>
      </c>
      <c r="B8" s="29"/>
      <c r="C8" s="26"/>
      <c r="D8" s="26"/>
      <c r="E8" s="26"/>
      <c r="F8" s="25">
        <f t="shared" si="1"/>
        <v>125000</v>
      </c>
      <c r="G8" s="24">
        <f aca="true" t="shared" si="3" ref="G8:G15">0.35*(C7+F7)</f>
        <v>56544.561933534766</v>
      </c>
      <c r="H8" s="27">
        <f t="shared" si="2"/>
        <v>-56544.561933534766</v>
      </c>
      <c r="I8" s="28">
        <f t="shared" si="0"/>
        <v>-37247.65436507965</v>
      </c>
    </row>
    <row r="9" spans="1:9" ht="12.75">
      <c r="A9" s="11">
        <v>5</v>
      </c>
      <c r="B9" s="29"/>
      <c r="C9" s="26"/>
      <c r="D9" s="26"/>
      <c r="E9" s="26"/>
      <c r="F9" s="25">
        <f t="shared" si="1"/>
        <v>125000</v>
      </c>
      <c r="G9" s="24">
        <f t="shared" si="3"/>
        <v>43750</v>
      </c>
      <c r="H9" s="27">
        <f t="shared" si="2"/>
        <v>-43750</v>
      </c>
      <c r="I9" s="28">
        <f t="shared" si="0"/>
        <v>-25963.49560256194</v>
      </c>
    </row>
    <row r="10" spans="1:9" ht="12.75">
      <c r="A10" s="11">
        <v>6</v>
      </c>
      <c r="B10" s="29"/>
      <c r="C10" s="26"/>
      <c r="D10" s="26"/>
      <c r="E10" s="26"/>
      <c r="F10" s="25">
        <f t="shared" si="1"/>
        <v>125000</v>
      </c>
      <c r="G10" s="24">
        <f t="shared" si="3"/>
        <v>43750</v>
      </c>
      <c r="H10" s="27">
        <f t="shared" si="2"/>
        <v>-43750</v>
      </c>
      <c r="I10" s="28">
        <f t="shared" si="0"/>
        <v>-23390.53657888463</v>
      </c>
    </row>
    <row r="11" spans="1:9" ht="12.75">
      <c r="A11" s="11">
        <v>7</v>
      </c>
      <c r="B11" s="29"/>
      <c r="C11" s="26"/>
      <c r="D11" s="26"/>
      <c r="E11" s="25"/>
      <c r="F11" s="25">
        <f t="shared" si="1"/>
        <v>125000</v>
      </c>
      <c r="G11" s="24">
        <f t="shared" si="3"/>
        <v>43750</v>
      </c>
      <c r="H11" s="27">
        <f t="shared" si="2"/>
        <v>-43750</v>
      </c>
      <c r="I11" s="28">
        <f t="shared" si="0"/>
        <v>-21072.55547647264</v>
      </c>
    </row>
    <row r="12" spans="1:9" ht="12.75">
      <c r="A12" s="11">
        <v>8</v>
      </c>
      <c r="B12" s="29"/>
      <c r="C12" s="26"/>
      <c r="D12" s="26"/>
      <c r="E12" s="26"/>
      <c r="F12" s="25">
        <f t="shared" si="1"/>
        <v>125000</v>
      </c>
      <c r="G12" s="24">
        <f t="shared" si="3"/>
        <v>43750</v>
      </c>
      <c r="H12" s="27">
        <f t="shared" si="2"/>
        <v>-43750</v>
      </c>
      <c r="I12" s="28">
        <f t="shared" si="0"/>
        <v>-18984.28421303841</v>
      </c>
    </row>
    <row r="13" spans="1:9" ht="12.75">
      <c r="A13" s="11">
        <v>9</v>
      </c>
      <c r="B13" s="29"/>
      <c r="C13" s="26"/>
      <c r="D13" s="26"/>
      <c r="E13" s="26"/>
      <c r="F13" s="25"/>
      <c r="G13" s="24">
        <f t="shared" si="3"/>
        <v>43750</v>
      </c>
      <c r="H13" s="27">
        <f t="shared" si="2"/>
        <v>-43750</v>
      </c>
      <c r="I13" s="28">
        <f t="shared" si="0"/>
        <v>-17102.95875048505</v>
      </c>
    </row>
    <row r="14" spans="1:9" ht="12.75">
      <c r="A14" s="11">
        <v>10</v>
      </c>
      <c r="B14" s="29"/>
      <c r="C14" s="26"/>
      <c r="D14" s="26"/>
      <c r="E14" s="26"/>
      <c r="F14" s="25"/>
      <c r="G14" s="24">
        <f t="shared" si="3"/>
        <v>0</v>
      </c>
      <c r="H14" s="27">
        <f t="shared" si="2"/>
        <v>0</v>
      </c>
      <c r="I14" s="28">
        <f t="shared" si="0"/>
        <v>0</v>
      </c>
    </row>
    <row r="15" spans="1:9" ht="13.5" thickBot="1">
      <c r="A15" s="12">
        <v>11</v>
      </c>
      <c r="B15" s="16"/>
      <c r="C15" s="16"/>
      <c r="D15" s="16"/>
      <c r="E15" s="16"/>
      <c r="F15" s="17"/>
      <c r="G15" s="18">
        <f t="shared" si="3"/>
        <v>0</v>
      </c>
      <c r="H15" s="19">
        <f t="shared" si="2"/>
        <v>0</v>
      </c>
      <c r="I15" s="20">
        <f t="shared" si="0"/>
        <v>0</v>
      </c>
    </row>
    <row r="16" spans="6:7" ht="13.5" thickBot="1">
      <c r="F16" s="1"/>
      <c r="G16" s="2"/>
    </row>
    <row r="17" spans="6:9" ht="13.5" thickBot="1">
      <c r="F17" s="1"/>
      <c r="G17" s="2"/>
      <c r="H17" s="21" t="s">
        <v>9</v>
      </c>
      <c r="I17" s="22">
        <f>SUM(I4:I15)</f>
        <v>686929.2227579363</v>
      </c>
    </row>
    <row r="18" spans="2:7" ht="12.75">
      <c r="B18" s="45" t="s">
        <v>24</v>
      </c>
      <c r="C18" s="46">
        <f>0.12/12</f>
        <v>0.01</v>
      </c>
      <c r="G18" s="2"/>
    </row>
    <row r="19" spans="2:4" ht="13.5" thickBot="1">
      <c r="B19" s="3" t="s">
        <v>10</v>
      </c>
      <c r="D19" s="3" t="s">
        <v>27</v>
      </c>
    </row>
    <row r="20" spans="1:11" ht="13.5" thickBot="1">
      <c r="A20" s="3"/>
      <c r="B20" s="7" t="s">
        <v>23</v>
      </c>
      <c r="C20" s="8" t="s">
        <v>2</v>
      </c>
      <c r="D20" s="8" t="s">
        <v>1</v>
      </c>
      <c r="E20" s="8" t="s">
        <v>4</v>
      </c>
      <c r="F20" s="8" t="s">
        <v>25</v>
      </c>
      <c r="G20" s="8" t="s">
        <v>26</v>
      </c>
      <c r="H20" s="8" t="s">
        <v>12</v>
      </c>
      <c r="I20" s="8" t="s">
        <v>5</v>
      </c>
      <c r="J20" s="8" t="s">
        <v>6</v>
      </c>
      <c r="K20" s="9" t="s">
        <v>8</v>
      </c>
    </row>
    <row r="21" spans="1:11" ht="13.5" thickBot="1">
      <c r="A21" s="3">
        <v>0</v>
      </c>
      <c r="B21" s="47">
        <f>1000000/(((1-(1+$C$18)^-37)/$C$18)*(1+$C$18))</f>
        <v>32146.583237767354</v>
      </c>
      <c r="C21" s="49">
        <v>0</v>
      </c>
      <c r="D21" s="49">
        <f aca="true" t="shared" si="4" ref="D21:D57">+B21-C21</f>
        <v>32146.583237767354</v>
      </c>
      <c r="E21" s="49">
        <f>1000000-D21</f>
        <v>967853.4167622327</v>
      </c>
      <c r="F21" s="48"/>
      <c r="G21" s="43"/>
      <c r="H21" s="43"/>
      <c r="I21" s="44"/>
      <c r="J21">
        <f>+B21+15000</f>
        <v>47146.58323776735</v>
      </c>
      <c r="K21">
        <f>+J21*(1+0.11)^(-A21/12)</f>
        <v>47146.58323776735</v>
      </c>
    </row>
    <row r="22" spans="1:11" ht="13.5" thickBot="1">
      <c r="A22" s="3">
        <v>1</v>
      </c>
      <c r="B22" s="47">
        <f aca="true" t="shared" si="5" ref="B22:B57">1000000/(((1-(1+$C$18)^-37)/$C$18)*(1+$C$18))</f>
        <v>32146.583237767354</v>
      </c>
      <c r="C22" s="49">
        <f>+E21*$C$18</f>
        <v>9678.534167622327</v>
      </c>
      <c r="D22" s="49">
        <f t="shared" si="4"/>
        <v>22468.049070145025</v>
      </c>
      <c r="E22" s="49">
        <f>+E21-D22</f>
        <v>945385.3676920877</v>
      </c>
      <c r="F22" s="48"/>
      <c r="G22" s="43"/>
      <c r="H22" s="43"/>
      <c r="I22" s="44"/>
      <c r="J22">
        <f>+B22-I22</f>
        <v>32146.583237767354</v>
      </c>
      <c r="K22">
        <f aca="true" t="shared" si="6" ref="K22:K81">+J22*(1+0.11)^(-A22/12)</f>
        <v>31868.227217148895</v>
      </c>
    </row>
    <row r="23" spans="1:11" ht="13.5" thickBot="1">
      <c r="A23" s="3">
        <v>2</v>
      </c>
      <c r="B23" s="47">
        <f t="shared" si="5"/>
        <v>32146.583237767354</v>
      </c>
      <c r="C23" s="49">
        <f aca="true" t="shared" si="7" ref="C23:C57">+E22*$C$18</f>
        <v>9453.853676920877</v>
      </c>
      <c r="D23" s="49">
        <f t="shared" si="4"/>
        <v>22692.729560846477</v>
      </c>
      <c r="E23" s="49">
        <f aca="true" t="shared" si="8" ref="E23:E56">+E22-D23</f>
        <v>922692.6381312412</v>
      </c>
      <c r="F23" s="48"/>
      <c r="G23" s="43"/>
      <c r="H23" s="43"/>
      <c r="I23" s="44"/>
      <c r="J23">
        <f aca="true" t="shared" si="9" ref="J23:J81">+B23-I23</f>
        <v>32146.583237767354</v>
      </c>
      <c r="K23">
        <f t="shared" si="6"/>
        <v>31592.28147054437</v>
      </c>
    </row>
    <row r="24" spans="1:11" ht="13.5" thickBot="1">
      <c r="A24" s="3">
        <v>3</v>
      </c>
      <c r="B24" s="47">
        <f t="shared" si="5"/>
        <v>32146.583237767354</v>
      </c>
      <c r="C24" s="49">
        <f t="shared" si="7"/>
        <v>9226.926381312413</v>
      </c>
      <c r="D24" s="49">
        <f t="shared" si="4"/>
        <v>22919.65685645494</v>
      </c>
      <c r="E24" s="49">
        <f t="shared" si="8"/>
        <v>899772.9812747863</v>
      </c>
      <c r="F24" s="48"/>
      <c r="G24" s="43"/>
      <c r="H24" s="43"/>
      <c r="I24" s="44"/>
      <c r="J24">
        <f t="shared" si="9"/>
        <v>32146.583237767354</v>
      </c>
      <c r="K24">
        <f t="shared" si="6"/>
        <v>31318.725127484322</v>
      </c>
    </row>
    <row r="25" spans="1:11" ht="13.5" thickBot="1">
      <c r="A25" s="3">
        <v>4</v>
      </c>
      <c r="B25" s="47">
        <f t="shared" si="5"/>
        <v>32146.583237767354</v>
      </c>
      <c r="C25" s="49">
        <f t="shared" si="7"/>
        <v>8997.729812747863</v>
      </c>
      <c r="D25" s="49">
        <f t="shared" si="4"/>
        <v>23148.853425019493</v>
      </c>
      <c r="E25" s="49">
        <f t="shared" si="8"/>
        <v>876624.1278497668</v>
      </c>
      <c r="F25" s="48"/>
      <c r="G25" s="43"/>
      <c r="H25" s="43"/>
      <c r="I25" s="44"/>
      <c r="J25">
        <f t="shared" si="9"/>
        <v>32146.583237767354</v>
      </c>
      <c r="K25">
        <f t="shared" si="6"/>
        <v>31047.537498215912</v>
      </c>
    </row>
    <row r="26" spans="1:11" ht="13.5" thickBot="1">
      <c r="A26" s="3">
        <v>5</v>
      </c>
      <c r="B26" s="47">
        <f t="shared" si="5"/>
        <v>32146.583237767354</v>
      </c>
      <c r="C26" s="49">
        <f t="shared" si="7"/>
        <v>8766.241278497668</v>
      </c>
      <c r="D26" s="49">
        <f t="shared" si="4"/>
        <v>23380.34195926969</v>
      </c>
      <c r="E26" s="49">
        <f t="shared" si="8"/>
        <v>853243.785890497</v>
      </c>
      <c r="F26" s="48"/>
      <c r="G26" s="43"/>
      <c r="H26" s="43"/>
      <c r="I26" s="44"/>
      <c r="J26">
        <f t="shared" si="9"/>
        <v>32146.583237767354</v>
      </c>
      <c r="K26">
        <f t="shared" si="6"/>
        <v>30778.69807213804</v>
      </c>
    </row>
    <row r="27" spans="1:11" ht="13.5" thickBot="1">
      <c r="A27" s="3">
        <v>6</v>
      </c>
      <c r="B27" s="47">
        <f t="shared" si="5"/>
        <v>32146.583237767354</v>
      </c>
      <c r="C27" s="49">
        <f t="shared" si="7"/>
        <v>8532.43785890497</v>
      </c>
      <c r="D27" s="49">
        <f t="shared" si="4"/>
        <v>23614.145378862384</v>
      </c>
      <c r="E27" s="49">
        <f t="shared" si="8"/>
        <v>829629.6405116346</v>
      </c>
      <c r="F27" s="48"/>
      <c r="G27" s="43"/>
      <c r="H27" s="43"/>
      <c r="I27" s="44"/>
      <c r="J27">
        <f t="shared" si="9"/>
        <v>32146.583237767354</v>
      </c>
      <c r="K27">
        <f t="shared" si="6"/>
        <v>30512.18651625014</v>
      </c>
    </row>
    <row r="28" spans="1:11" ht="13.5" thickBot="1">
      <c r="A28" s="3">
        <v>7</v>
      </c>
      <c r="B28" s="47">
        <f t="shared" si="5"/>
        <v>32146.583237767354</v>
      </c>
      <c r="C28" s="49">
        <f t="shared" si="7"/>
        <v>8296.296405116347</v>
      </c>
      <c r="D28" s="49">
        <f t="shared" si="4"/>
        <v>23850.286832651007</v>
      </c>
      <c r="E28" s="49">
        <f t="shared" si="8"/>
        <v>805779.3536789836</v>
      </c>
      <c r="F28" s="48"/>
      <c r="G28" s="43"/>
      <c r="H28" s="43"/>
      <c r="I28" s="44"/>
      <c r="J28">
        <f t="shared" si="9"/>
        <v>32146.583237767354</v>
      </c>
      <c r="K28">
        <f t="shared" si="6"/>
        <v>30247.982673614286</v>
      </c>
    </row>
    <row r="29" spans="1:11" ht="13.5" thickBot="1">
      <c r="A29" s="3">
        <v>8</v>
      </c>
      <c r="B29" s="47">
        <f t="shared" si="5"/>
        <v>32146.583237767354</v>
      </c>
      <c r="C29" s="49">
        <f t="shared" si="7"/>
        <v>8057.793536789836</v>
      </c>
      <c r="D29" s="49">
        <f t="shared" si="4"/>
        <v>24088.78970097752</v>
      </c>
      <c r="E29" s="49">
        <f t="shared" si="8"/>
        <v>781690.5639780061</v>
      </c>
      <c r="F29" s="48"/>
      <c r="G29" s="43"/>
      <c r="H29" s="43"/>
      <c r="I29" s="44"/>
      <c r="J29">
        <f t="shared" si="9"/>
        <v>32146.583237767354</v>
      </c>
      <c r="K29">
        <f t="shared" si="6"/>
        <v>29986.066561830703</v>
      </c>
    </row>
    <row r="30" spans="1:11" ht="13.5" thickBot="1">
      <c r="A30" s="3">
        <v>9</v>
      </c>
      <c r="B30" s="47">
        <f t="shared" si="5"/>
        <v>32146.583237767354</v>
      </c>
      <c r="C30" s="49">
        <f t="shared" si="7"/>
        <v>7816.905639780061</v>
      </c>
      <c r="D30" s="49">
        <f t="shared" si="4"/>
        <v>24329.67759798729</v>
      </c>
      <c r="E30" s="49">
        <f t="shared" si="8"/>
        <v>757360.8863800189</v>
      </c>
      <c r="F30" s="48"/>
      <c r="G30" s="43"/>
      <c r="H30" s="43"/>
      <c r="I30" s="44"/>
      <c r="J30">
        <f t="shared" si="9"/>
        <v>32146.583237767354</v>
      </c>
      <c r="K30">
        <f t="shared" si="6"/>
        <v>29726.418371526444</v>
      </c>
    </row>
    <row r="31" spans="1:11" ht="13.5" thickBot="1">
      <c r="A31" s="3">
        <v>10</v>
      </c>
      <c r="B31" s="47">
        <f t="shared" si="5"/>
        <v>32146.583237767354</v>
      </c>
      <c r="C31" s="49">
        <f t="shared" si="7"/>
        <v>7573.608863800189</v>
      </c>
      <c r="D31" s="49">
        <f t="shared" si="4"/>
        <v>24572.974373967165</v>
      </c>
      <c r="E31" s="49">
        <f t="shared" si="8"/>
        <v>732787.9120060517</v>
      </c>
      <c r="F31" s="48"/>
      <c r="G31" s="43"/>
      <c r="H31" s="43"/>
      <c r="I31" s="44"/>
      <c r="J31">
        <f t="shared" si="9"/>
        <v>32146.583237767354</v>
      </c>
      <c r="K31">
        <f t="shared" si="6"/>
        <v>29469.01846485717</v>
      </c>
    </row>
    <row r="32" spans="1:11" ht="13.5" thickBot="1">
      <c r="A32" s="3">
        <v>11</v>
      </c>
      <c r="B32" s="47">
        <f t="shared" si="5"/>
        <v>32146.583237767354</v>
      </c>
      <c r="C32" s="49">
        <f t="shared" si="7"/>
        <v>7327.879120060517</v>
      </c>
      <c r="D32" s="49">
        <f t="shared" si="4"/>
        <v>24818.70411770684</v>
      </c>
      <c r="E32" s="49">
        <f t="shared" si="8"/>
        <v>707969.2078883449</v>
      </c>
      <c r="F32" s="48"/>
      <c r="G32" s="43"/>
      <c r="H32" s="43"/>
      <c r="I32" s="44"/>
      <c r="J32">
        <f t="shared" si="9"/>
        <v>32146.583237767354</v>
      </c>
      <c r="K32">
        <f t="shared" si="6"/>
        <v>29213.84737402185</v>
      </c>
    </row>
    <row r="33" spans="1:11" ht="13.5" thickBot="1">
      <c r="A33" s="3">
        <v>12</v>
      </c>
      <c r="B33" s="47">
        <f t="shared" si="5"/>
        <v>32146.583237767354</v>
      </c>
      <c r="C33" s="49">
        <f t="shared" si="7"/>
        <v>7079.692078883449</v>
      </c>
      <c r="D33" s="49">
        <f t="shared" si="4"/>
        <v>25066.891158883904</v>
      </c>
      <c r="E33" s="49">
        <f t="shared" si="8"/>
        <v>682902.316729461</v>
      </c>
      <c r="F33" s="49">
        <f>+SUM(C21:C32)</f>
        <v>93728.20674155308</v>
      </c>
      <c r="G33" s="49">
        <f>+SUM(D21:D32)</f>
        <v>292030.7921116552</v>
      </c>
      <c r="H33" s="43">
        <v>250000</v>
      </c>
      <c r="I33" s="44">
        <f>0.35*(15000)+0.05*1000000</f>
        <v>55250</v>
      </c>
      <c r="J33">
        <f t="shared" si="9"/>
        <v>-23103.416762232646</v>
      </c>
      <c r="K33">
        <f t="shared" si="6"/>
        <v>-20813.888974984362</v>
      </c>
    </row>
    <row r="34" spans="1:11" ht="13.5" thickBot="1">
      <c r="A34" s="3">
        <v>13</v>
      </c>
      <c r="B34" s="47">
        <f t="shared" si="5"/>
        <v>32146.583237767354</v>
      </c>
      <c r="C34" s="49">
        <f t="shared" si="7"/>
        <v>6829.02316729461</v>
      </c>
      <c r="D34" s="49">
        <f t="shared" si="4"/>
        <v>25317.560070472744</v>
      </c>
      <c r="E34" s="49">
        <f t="shared" si="8"/>
        <v>657584.7566589882</v>
      </c>
      <c r="F34" s="48"/>
      <c r="G34" s="48"/>
      <c r="H34" s="43"/>
      <c r="I34" s="44"/>
      <c r="J34">
        <f t="shared" si="9"/>
        <v>32146.583237767354</v>
      </c>
      <c r="K34">
        <f t="shared" si="6"/>
        <v>28710.11461004405</v>
      </c>
    </row>
    <row r="35" spans="1:11" ht="13.5" thickBot="1">
      <c r="A35" s="3">
        <v>14</v>
      </c>
      <c r="B35" s="47">
        <f t="shared" si="5"/>
        <v>32146.583237767354</v>
      </c>
      <c r="C35" s="49">
        <f t="shared" si="7"/>
        <v>6575.847566589882</v>
      </c>
      <c r="D35" s="49">
        <f t="shared" si="4"/>
        <v>25570.73567117747</v>
      </c>
      <c r="E35" s="49">
        <f t="shared" si="8"/>
        <v>632014.0209878107</v>
      </c>
      <c r="F35" s="48"/>
      <c r="G35" s="48"/>
      <c r="H35" s="43"/>
      <c r="I35" s="44"/>
      <c r="J35">
        <f t="shared" si="9"/>
        <v>32146.583237767354</v>
      </c>
      <c r="K35">
        <f t="shared" si="6"/>
        <v>28461.514838328258</v>
      </c>
    </row>
    <row r="36" spans="1:11" ht="13.5" thickBot="1">
      <c r="A36" s="3">
        <v>15</v>
      </c>
      <c r="B36" s="47">
        <f t="shared" si="5"/>
        <v>32146.583237767354</v>
      </c>
      <c r="C36" s="49">
        <f t="shared" si="7"/>
        <v>6320.140209878107</v>
      </c>
      <c r="D36" s="49">
        <f t="shared" si="4"/>
        <v>25826.443027889247</v>
      </c>
      <c r="E36" s="49">
        <f t="shared" si="8"/>
        <v>606187.5779599214</v>
      </c>
      <c r="F36" s="48"/>
      <c r="G36" s="48"/>
      <c r="H36" s="43"/>
      <c r="I36" s="44"/>
      <c r="J36">
        <f t="shared" si="9"/>
        <v>32146.583237767354</v>
      </c>
      <c r="K36">
        <f t="shared" si="6"/>
        <v>28215.067682418303</v>
      </c>
    </row>
    <row r="37" spans="1:11" ht="13.5" thickBot="1">
      <c r="A37" s="3">
        <v>16</v>
      </c>
      <c r="B37" s="47">
        <f t="shared" si="5"/>
        <v>32146.583237767354</v>
      </c>
      <c r="C37" s="49">
        <f t="shared" si="7"/>
        <v>6061.875779599214</v>
      </c>
      <c r="D37" s="49">
        <f t="shared" si="4"/>
        <v>26084.70745816814</v>
      </c>
      <c r="E37" s="49">
        <f t="shared" si="8"/>
        <v>580102.8705017533</v>
      </c>
      <c r="F37" s="48"/>
      <c r="G37" s="48"/>
      <c r="H37" s="43"/>
      <c r="I37" s="44"/>
      <c r="J37">
        <f t="shared" si="9"/>
        <v>32146.583237767354</v>
      </c>
      <c r="K37">
        <f t="shared" si="6"/>
        <v>27970.754502897213</v>
      </c>
    </row>
    <row r="38" spans="1:11" ht="13.5" thickBot="1">
      <c r="A38" s="3">
        <v>17</v>
      </c>
      <c r="B38" s="47">
        <f t="shared" si="5"/>
        <v>32146.583237767354</v>
      </c>
      <c r="C38" s="49">
        <f t="shared" si="7"/>
        <v>5801.028705017533</v>
      </c>
      <c r="D38" s="49">
        <f t="shared" si="4"/>
        <v>26345.554532749822</v>
      </c>
      <c r="E38" s="49">
        <f t="shared" si="8"/>
        <v>553757.3159690035</v>
      </c>
      <c r="F38" s="48"/>
      <c r="G38" s="48"/>
      <c r="H38" s="43"/>
      <c r="I38" s="44"/>
      <c r="J38">
        <f t="shared" si="9"/>
        <v>32146.583237767354</v>
      </c>
      <c r="K38">
        <f t="shared" si="6"/>
        <v>27728.55682174598</v>
      </c>
    </row>
    <row r="39" spans="1:11" ht="13.5" thickBot="1">
      <c r="A39" s="3">
        <v>18</v>
      </c>
      <c r="B39" s="47">
        <f t="shared" si="5"/>
        <v>32146.583237767354</v>
      </c>
      <c r="C39" s="49">
        <f t="shared" si="7"/>
        <v>5537.573159690035</v>
      </c>
      <c r="D39" s="49">
        <f t="shared" si="4"/>
        <v>26609.01007807732</v>
      </c>
      <c r="E39" s="49">
        <f t="shared" si="8"/>
        <v>527148.3058909262</v>
      </c>
      <c r="F39" s="48"/>
      <c r="G39" s="48"/>
      <c r="H39" s="43"/>
      <c r="I39" s="44"/>
      <c r="J39">
        <f t="shared" si="9"/>
        <v>32146.583237767354</v>
      </c>
      <c r="K39">
        <f t="shared" si="6"/>
        <v>27488.45632094607</v>
      </c>
    </row>
    <row r="40" spans="1:11" ht="13.5" thickBot="1">
      <c r="A40" s="3">
        <v>19</v>
      </c>
      <c r="B40" s="47">
        <f t="shared" si="5"/>
        <v>32146.583237767354</v>
      </c>
      <c r="C40" s="49">
        <f t="shared" si="7"/>
        <v>5271.483058909262</v>
      </c>
      <c r="D40" s="49">
        <f t="shared" si="4"/>
        <v>26875.10017885809</v>
      </c>
      <c r="E40" s="49">
        <f t="shared" si="8"/>
        <v>500273.20571206807</v>
      </c>
      <c r="F40" s="48"/>
      <c r="G40" s="48"/>
      <c r="H40" s="43"/>
      <c r="I40" s="44"/>
      <c r="J40">
        <f t="shared" si="9"/>
        <v>32146.583237767354</v>
      </c>
      <c r="K40">
        <f t="shared" si="6"/>
        <v>27250.43484109395</v>
      </c>
    </row>
    <row r="41" spans="1:11" ht="13.5" thickBot="1">
      <c r="A41" s="3">
        <v>20</v>
      </c>
      <c r="B41" s="47">
        <f t="shared" si="5"/>
        <v>32146.583237767354</v>
      </c>
      <c r="C41" s="49">
        <f t="shared" si="7"/>
        <v>5002.732057120681</v>
      </c>
      <c r="D41" s="49">
        <f t="shared" si="4"/>
        <v>27143.851180646674</v>
      </c>
      <c r="E41" s="49">
        <f t="shared" si="8"/>
        <v>473129.3545314214</v>
      </c>
      <c r="F41" s="48"/>
      <c r="G41" s="48"/>
      <c r="H41" s="43"/>
      <c r="I41" s="44"/>
      <c r="J41">
        <f t="shared" si="9"/>
        <v>32146.583237767354</v>
      </c>
      <c r="K41">
        <f t="shared" si="6"/>
        <v>27014.474380027656</v>
      </c>
    </row>
    <row r="42" spans="1:11" ht="13.5" thickBot="1">
      <c r="A42" s="3">
        <v>21</v>
      </c>
      <c r="B42" s="47">
        <f t="shared" si="5"/>
        <v>32146.583237767354</v>
      </c>
      <c r="C42" s="49">
        <f t="shared" si="7"/>
        <v>4731.293545314214</v>
      </c>
      <c r="D42" s="49">
        <f t="shared" si="4"/>
        <v>27415.28969245314</v>
      </c>
      <c r="E42" s="49">
        <f t="shared" si="8"/>
        <v>445714.0648389682</v>
      </c>
      <c r="F42" s="48"/>
      <c r="G42" s="48"/>
      <c r="H42" s="43"/>
      <c r="I42" s="44"/>
      <c r="J42">
        <f t="shared" si="9"/>
        <v>32146.583237767354</v>
      </c>
      <c r="K42">
        <f t="shared" si="6"/>
        <v>26780.557091465264</v>
      </c>
    </row>
    <row r="43" spans="1:11" ht="13.5" thickBot="1">
      <c r="A43" s="3">
        <v>22</v>
      </c>
      <c r="B43" s="47">
        <f t="shared" si="5"/>
        <v>32146.583237767354</v>
      </c>
      <c r="C43" s="49">
        <f t="shared" si="7"/>
        <v>4457.140648389683</v>
      </c>
      <c r="D43" s="49">
        <f t="shared" si="4"/>
        <v>27689.44258937767</v>
      </c>
      <c r="E43" s="49">
        <f t="shared" si="8"/>
        <v>418024.6222495905</v>
      </c>
      <c r="F43" s="48"/>
      <c r="G43" s="48"/>
      <c r="H43" s="43"/>
      <c r="I43" s="44"/>
      <c r="J43">
        <f t="shared" si="9"/>
        <v>32146.583237767354</v>
      </c>
      <c r="K43">
        <f t="shared" si="6"/>
        <v>26548.665283655104</v>
      </c>
    </row>
    <row r="44" spans="1:11" ht="13.5" thickBot="1">
      <c r="A44" s="3">
        <v>23</v>
      </c>
      <c r="B44" s="47">
        <f t="shared" si="5"/>
        <v>32146.583237767354</v>
      </c>
      <c r="C44" s="49">
        <f t="shared" si="7"/>
        <v>4180.246222495905</v>
      </c>
      <c r="D44" s="49">
        <f t="shared" si="4"/>
        <v>27966.33701527145</v>
      </c>
      <c r="E44" s="49">
        <f t="shared" si="8"/>
        <v>390058.28523431905</v>
      </c>
      <c r="F44" s="48"/>
      <c r="G44" s="48"/>
      <c r="H44" s="43"/>
      <c r="I44" s="44"/>
      <c r="J44">
        <f t="shared" si="9"/>
        <v>32146.583237767354</v>
      </c>
      <c r="K44">
        <f t="shared" si="6"/>
        <v>26318.781418037695</v>
      </c>
    </row>
    <row r="45" spans="1:11" ht="13.5" thickBot="1">
      <c r="A45" s="3">
        <v>24</v>
      </c>
      <c r="B45" s="47">
        <f t="shared" si="5"/>
        <v>32146.583237767354</v>
      </c>
      <c r="C45" s="49">
        <f t="shared" si="7"/>
        <v>3900.5828523431906</v>
      </c>
      <c r="D45" s="49">
        <f t="shared" si="4"/>
        <v>28246.000385424162</v>
      </c>
      <c r="E45" s="49">
        <f t="shared" si="8"/>
        <v>361812.28484889487</v>
      </c>
      <c r="F45" s="49">
        <f>+SUM(C33:C44)</f>
        <v>67848.07619918257</v>
      </c>
      <c r="G45" s="49">
        <f>+SUM(D33:D44)</f>
        <v>317910.9226540257</v>
      </c>
      <c r="H45" s="43">
        <v>250000</v>
      </c>
      <c r="I45" s="44">
        <f>0.35*(F33+H33)</f>
        <v>120304.87235954357</v>
      </c>
      <c r="J45">
        <f t="shared" si="9"/>
        <v>-88158.28912177622</v>
      </c>
      <c r="K45">
        <f t="shared" si="6"/>
        <v>-71551.2451276489</v>
      </c>
    </row>
    <row r="46" spans="1:11" ht="13.5" thickBot="1">
      <c r="A46" s="3">
        <v>25</v>
      </c>
      <c r="B46" s="47">
        <f t="shared" si="5"/>
        <v>32146.583237767354</v>
      </c>
      <c r="C46" s="49">
        <f t="shared" si="7"/>
        <v>3618.122848488949</v>
      </c>
      <c r="D46" s="49">
        <f t="shared" si="4"/>
        <v>28528.460389278407</v>
      </c>
      <c r="E46" s="49">
        <f t="shared" si="8"/>
        <v>333283.82445961644</v>
      </c>
      <c r="F46" s="48"/>
      <c r="G46" s="48"/>
      <c r="H46" s="43"/>
      <c r="I46" s="44"/>
      <c r="J46">
        <f t="shared" si="9"/>
        <v>32146.583237767354</v>
      </c>
      <c r="K46">
        <f t="shared" si="6"/>
        <v>25864.968117156794</v>
      </c>
    </row>
    <row r="47" spans="1:11" ht="13.5" thickBot="1">
      <c r="A47" s="3">
        <v>26</v>
      </c>
      <c r="B47" s="47">
        <f t="shared" si="5"/>
        <v>32146.583237767354</v>
      </c>
      <c r="C47" s="49">
        <f t="shared" si="7"/>
        <v>3332.8382445961647</v>
      </c>
      <c r="D47" s="49">
        <f t="shared" si="4"/>
        <v>28813.74499317119</v>
      </c>
      <c r="E47" s="49">
        <f t="shared" si="8"/>
        <v>304470.07946644526</v>
      </c>
      <c r="F47" s="48"/>
      <c r="G47" s="48"/>
      <c r="H47" s="43"/>
      <c r="I47" s="44"/>
      <c r="J47">
        <f t="shared" si="9"/>
        <v>32146.583237767354</v>
      </c>
      <c r="K47">
        <f t="shared" si="6"/>
        <v>25641.004358854283</v>
      </c>
    </row>
    <row r="48" spans="1:11" ht="13.5" thickBot="1">
      <c r="A48" s="3">
        <v>27</v>
      </c>
      <c r="B48" s="47">
        <f t="shared" si="5"/>
        <v>32146.583237767354</v>
      </c>
      <c r="C48" s="49">
        <f t="shared" si="7"/>
        <v>3044.7007946644526</v>
      </c>
      <c r="D48" s="49">
        <f t="shared" si="4"/>
        <v>29101.882443102902</v>
      </c>
      <c r="E48" s="49">
        <f t="shared" si="8"/>
        <v>275368.19702334236</v>
      </c>
      <c r="F48" s="48"/>
      <c r="G48" s="48"/>
      <c r="H48" s="43"/>
      <c r="I48" s="44"/>
      <c r="J48">
        <f t="shared" si="9"/>
        <v>32146.583237767354</v>
      </c>
      <c r="K48">
        <f t="shared" si="6"/>
        <v>25418.97989407054</v>
      </c>
    </row>
    <row r="49" spans="1:11" ht="13.5" thickBot="1">
      <c r="A49" s="3">
        <v>28</v>
      </c>
      <c r="B49" s="47">
        <f t="shared" si="5"/>
        <v>32146.583237767354</v>
      </c>
      <c r="C49" s="49">
        <f t="shared" si="7"/>
        <v>2753.6819702334237</v>
      </c>
      <c r="D49" s="49">
        <f t="shared" si="4"/>
        <v>29392.90126753393</v>
      </c>
      <c r="E49" s="49">
        <f t="shared" si="8"/>
        <v>245975.29575580845</v>
      </c>
      <c r="F49" s="48"/>
      <c r="G49" s="48"/>
      <c r="H49" s="43"/>
      <c r="I49" s="44"/>
      <c r="J49">
        <f t="shared" si="9"/>
        <v>32146.583237767354</v>
      </c>
      <c r="K49">
        <f t="shared" si="6"/>
        <v>25198.877930538027</v>
      </c>
    </row>
    <row r="50" spans="1:11" ht="13.5" thickBot="1">
      <c r="A50" s="3">
        <v>29</v>
      </c>
      <c r="B50" s="47">
        <f t="shared" si="5"/>
        <v>32146.583237767354</v>
      </c>
      <c r="C50" s="49">
        <f t="shared" si="7"/>
        <v>2459.7529575580843</v>
      </c>
      <c r="D50" s="49">
        <f t="shared" si="4"/>
        <v>29686.83028020927</v>
      </c>
      <c r="E50" s="49">
        <f t="shared" si="8"/>
        <v>216288.46547559917</v>
      </c>
      <c r="F50" s="48"/>
      <c r="G50" s="48"/>
      <c r="H50" s="43"/>
      <c r="I50" s="44"/>
      <c r="J50">
        <f t="shared" si="9"/>
        <v>32146.583237767354</v>
      </c>
      <c r="K50">
        <f t="shared" si="6"/>
        <v>24980.681821392776</v>
      </c>
    </row>
    <row r="51" spans="1:11" ht="13.5" thickBot="1">
      <c r="A51" s="3">
        <v>30</v>
      </c>
      <c r="B51" s="47">
        <f t="shared" si="5"/>
        <v>32146.583237767354</v>
      </c>
      <c r="C51" s="49">
        <f t="shared" si="7"/>
        <v>2162.8846547559915</v>
      </c>
      <c r="D51" s="49">
        <f t="shared" si="4"/>
        <v>29983.698583011363</v>
      </c>
      <c r="E51" s="49">
        <f t="shared" si="8"/>
        <v>186304.7668925878</v>
      </c>
      <c r="F51" s="48"/>
      <c r="G51" s="48"/>
      <c r="H51" s="43"/>
      <c r="I51" s="44"/>
      <c r="J51">
        <f t="shared" si="9"/>
        <v>32146.583237767354</v>
      </c>
      <c r="K51">
        <f t="shared" si="6"/>
        <v>24764.375063915377</v>
      </c>
    </row>
    <row r="52" spans="1:11" ht="13.5" thickBot="1">
      <c r="A52" s="3">
        <v>31</v>
      </c>
      <c r="B52" s="47">
        <f t="shared" si="5"/>
        <v>32146.583237767354</v>
      </c>
      <c r="C52" s="49">
        <f t="shared" si="7"/>
        <v>1863.047668925878</v>
      </c>
      <c r="D52" s="49">
        <f t="shared" si="4"/>
        <v>30283.535568841475</v>
      </c>
      <c r="E52" s="49">
        <f t="shared" si="8"/>
        <v>156021.23132374632</v>
      </c>
      <c r="F52" s="48"/>
      <c r="G52" s="48"/>
      <c r="H52" s="43"/>
      <c r="I52" s="44"/>
      <c r="J52">
        <f t="shared" si="9"/>
        <v>32146.583237767354</v>
      </c>
      <c r="K52">
        <f t="shared" si="6"/>
        <v>24549.941298282833</v>
      </c>
    </row>
    <row r="53" spans="1:11" ht="13.5" thickBot="1">
      <c r="A53" s="3">
        <v>32</v>
      </c>
      <c r="B53" s="47">
        <f t="shared" si="5"/>
        <v>32146.583237767354</v>
      </c>
      <c r="C53" s="49">
        <f t="shared" si="7"/>
        <v>1560.2123132374634</v>
      </c>
      <c r="D53" s="49">
        <f t="shared" si="4"/>
        <v>30586.370924529892</v>
      </c>
      <c r="E53" s="49">
        <f t="shared" si="8"/>
        <v>125434.86039921643</v>
      </c>
      <c r="F53" s="48"/>
      <c r="G53" s="48"/>
      <c r="H53" s="43"/>
      <c r="I53" s="44"/>
      <c r="J53">
        <f t="shared" si="9"/>
        <v>32146.583237767354</v>
      </c>
      <c r="K53">
        <f t="shared" si="6"/>
        <v>24337.36430633122</v>
      </c>
    </row>
    <row r="54" spans="1:11" ht="13.5" thickBot="1">
      <c r="A54" s="3">
        <v>33</v>
      </c>
      <c r="B54" s="47">
        <f t="shared" si="5"/>
        <v>32146.583237767354</v>
      </c>
      <c r="C54" s="49">
        <f t="shared" si="7"/>
        <v>1254.3486039921643</v>
      </c>
      <c r="D54" s="49">
        <f t="shared" si="4"/>
        <v>30892.23463377519</v>
      </c>
      <c r="E54" s="49">
        <f t="shared" si="8"/>
        <v>94542.62576544123</v>
      </c>
      <c r="F54" s="48"/>
      <c r="G54" s="48"/>
      <c r="H54" s="43"/>
      <c r="I54" s="44"/>
      <c r="J54">
        <f t="shared" si="9"/>
        <v>32146.583237767354</v>
      </c>
      <c r="K54">
        <f t="shared" si="6"/>
        <v>24126.628010329063</v>
      </c>
    </row>
    <row r="55" spans="1:11" ht="13.5" thickBot="1">
      <c r="A55" s="3">
        <v>34</v>
      </c>
      <c r="B55" s="47">
        <f t="shared" si="5"/>
        <v>32146.583237767354</v>
      </c>
      <c r="C55" s="49">
        <f t="shared" si="7"/>
        <v>945.4262576544123</v>
      </c>
      <c r="D55" s="49">
        <f t="shared" si="4"/>
        <v>31201.15698011294</v>
      </c>
      <c r="E55" s="49">
        <f t="shared" si="8"/>
        <v>63341.468785328296</v>
      </c>
      <c r="F55" s="48"/>
      <c r="G55" s="48"/>
      <c r="H55" s="43"/>
      <c r="I55" s="44"/>
      <c r="J55">
        <f t="shared" si="9"/>
        <v>32146.583237767354</v>
      </c>
      <c r="K55">
        <f t="shared" si="6"/>
        <v>23917.716471761352</v>
      </c>
    </row>
    <row r="56" spans="1:11" ht="13.5" thickBot="1">
      <c r="A56" s="3">
        <v>35</v>
      </c>
      <c r="B56" s="47">
        <f t="shared" si="5"/>
        <v>32146.583237767354</v>
      </c>
      <c r="C56" s="49">
        <f t="shared" si="7"/>
        <v>633.414687853283</v>
      </c>
      <c r="D56" s="49">
        <f t="shared" si="4"/>
        <v>31513.16854991407</v>
      </c>
      <c r="E56" s="49">
        <f t="shared" si="8"/>
        <v>31828.300235414226</v>
      </c>
      <c r="F56" s="48"/>
      <c r="G56" s="48"/>
      <c r="H56" s="43"/>
      <c r="I56" s="44"/>
      <c r="J56">
        <f t="shared" si="9"/>
        <v>32146.583237767354</v>
      </c>
      <c r="K56">
        <f t="shared" si="6"/>
        <v>23710.613890124056</v>
      </c>
    </row>
    <row r="57" spans="1:11" ht="13.5" thickBot="1">
      <c r="A57" s="3">
        <v>36</v>
      </c>
      <c r="B57" s="47">
        <f t="shared" si="5"/>
        <v>32146.583237767354</v>
      </c>
      <c r="C57" s="49">
        <f t="shared" si="7"/>
        <v>318.2830023541423</v>
      </c>
      <c r="D57" s="49">
        <f t="shared" si="4"/>
        <v>31828.30023541321</v>
      </c>
      <c r="E57" s="49">
        <v>0</v>
      </c>
      <c r="F57" s="49">
        <f>+SUM(C45:C56)</f>
        <v>27529.01385430346</v>
      </c>
      <c r="G57" s="49">
        <f>+SUM(D45:D56)</f>
        <v>358229.98499890487</v>
      </c>
      <c r="H57" s="43">
        <v>250000</v>
      </c>
      <c r="I57" s="44">
        <f>0.35*(F45+H45)</f>
        <v>111246.82666971389</v>
      </c>
      <c r="J57">
        <f t="shared" si="9"/>
        <v>-79100.24343194654</v>
      </c>
      <c r="K57">
        <f t="shared" si="6"/>
        <v>-57837.416256246404</v>
      </c>
    </row>
    <row r="58" spans="1:11" ht="13.5" thickBot="1">
      <c r="A58" s="3">
        <v>37</v>
      </c>
      <c r="B58" s="47"/>
      <c r="C58" s="49"/>
      <c r="D58" s="49"/>
      <c r="E58" s="49"/>
      <c r="F58" s="49"/>
      <c r="G58" s="49"/>
      <c r="H58" s="43"/>
      <c r="I58" s="44"/>
      <c r="J58">
        <f t="shared" si="9"/>
        <v>0</v>
      </c>
      <c r="K58">
        <f t="shared" si="6"/>
        <v>0</v>
      </c>
    </row>
    <row r="59" spans="1:11" ht="13.5" thickBot="1">
      <c r="A59" s="3">
        <v>38</v>
      </c>
      <c r="B59" s="47"/>
      <c r="C59" s="49"/>
      <c r="D59" s="49"/>
      <c r="E59" s="49"/>
      <c r="F59" s="49"/>
      <c r="G59" s="49"/>
      <c r="H59" s="43"/>
      <c r="I59" s="44"/>
      <c r="J59">
        <f t="shared" si="9"/>
        <v>0</v>
      </c>
      <c r="K59">
        <f t="shared" si="6"/>
        <v>0</v>
      </c>
    </row>
    <row r="60" spans="1:11" ht="13.5" thickBot="1">
      <c r="A60" s="3">
        <v>39</v>
      </c>
      <c r="B60" s="47"/>
      <c r="C60" s="49"/>
      <c r="D60" s="49"/>
      <c r="E60" s="49"/>
      <c r="F60" s="49"/>
      <c r="G60" s="49"/>
      <c r="H60" s="43"/>
      <c r="I60" s="44"/>
      <c r="J60">
        <f t="shared" si="9"/>
        <v>0</v>
      </c>
      <c r="K60">
        <f t="shared" si="6"/>
        <v>0</v>
      </c>
    </row>
    <row r="61" spans="1:11" ht="13.5" thickBot="1">
      <c r="A61" s="3">
        <v>40</v>
      </c>
      <c r="B61" s="47"/>
      <c r="C61" s="49"/>
      <c r="D61" s="49"/>
      <c r="E61" s="49"/>
      <c r="F61" s="49"/>
      <c r="G61" s="49"/>
      <c r="H61" s="43"/>
      <c r="I61" s="44"/>
      <c r="J61">
        <f t="shared" si="9"/>
        <v>0</v>
      </c>
      <c r="K61">
        <f t="shared" si="6"/>
        <v>0</v>
      </c>
    </row>
    <row r="62" spans="1:11" ht="13.5" thickBot="1">
      <c r="A62" s="3">
        <v>41</v>
      </c>
      <c r="B62" s="47"/>
      <c r="C62" s="49"/>
      <c r="D62" s="49"/>
      <c r="E62" s="49"/>
      <c r="F62" s="49"/>
      <c r="G62" s="49"/>
      <c r="H62" s="43"/>
      <c r="I62" s="44"/>
      <c r="J62">
        <f t="shared" si="9"/>
        <v>0</v>
      </c>
      <c r="K62">
        <f t="shared" si="6"/>
        <v>0</v>
      </c>
    </row>
    <row r="63" spans="1:11" ht="13.5" thickBot="1">
      <c r="A63" s="3">
        <v>42</v>
      </c>
      <c r="B63" s="47"/>
      <c r="C63" s="49"/>
      <c r="D63" s="49"/>
      <c r="E63" s="49"/>
      <c r="F63" s="49"/>
      <c r="G63" s="49"/>
      <c r="H63" s="43"/>
      <c r="I63" s="44"/>
      <c r="J63">
        <f t="shared" si="9"/>
        <v>0</v>
      </c>
      <c r="K63">
        <f t="shared" si="6"/>
        <v>0</v>
      </c>
    </row>
    <row r="64" spans="1:11" ht="13.5" thickBot="1">
      <c r="A64" s="3">
        <v>43</v>
      </c>
      <c r="B64" s="47"/>
      <c r="C64" s="49"/>
      <c r="D64" s="49"/>
      <c r="E64" s="49"/>
      <c r="F64" s="49"/>
      <c r="G64" s="49"/>
      <c r="H64" s="43"/>
      <c r="I64" s="44"/>
      <c r="J64">
        <f t="shared" si="9"/>
        <v>0</v>
      </c>
      <c r="K64">
        <f t="shared" si="6"/>
        <v>0</v>
      </c>
    </row>
    <row r="65" spans="1:11" ht="13.5" thickBot="1">
      <c r="A65" s="3">
        <v>44</v>
      </c>
      <c r="B65" s="47"/>
      <c r="C65" s="49"/>
      <c r="D65" s="49"/>
      <c r="E65" s="49"/>
      <c r="F65" s="49"/>
      <c r="G65" s="49"/>
      <c r="H65" s="43"/>
      <c r="I65" s="44"/>
      <c r="J65">
        <f t="shared" si="9"/>
        <v>0</v>
      </c>
      <c r="K65">
        <f t="shared" si="6"/>
        <v>0</v>
      </c>
    </row>
    <row r="66" spans="1:11" ht="13.5" thickBot="1">
      <c r="A66" s="3">
        <v>45</v>
      </c>
      <c r="B66" s="47"/>
      <c r="C66" s="49"/>
      <c r="D66" s="49"/>
      <c r="E66" s="49"/>
      <c r="F66" s="49"/>
      <c r="G66" s="49"/>
      <c r="H66" s="43"/>
      <c r="I66" s="44"/>
      <c r="J66">
        <f t="shared" si="9"/>
        <v>0</v>
      </c>
      <c r="K66">
        <f t="shared" si="6"/>
        <v>0</v>
      </c>
    </row>
    <row r="67" spans="1:11" ht="13.5" thickBot="1">
      <c r="A67" s="3">
        <v>46</v>
      </c>
      <c r="B67" s="47"/>
      <c r="C67" s="49"/>
      <c r="D67" s="49"/>
      <c r="E67" s="49"/>
      <c r="F67" s="49"/>
      <c r="G67" s="49"/>
      <c r="H67" s="43"/>
      <c r="I67" s="44"/>
      <c r="J67">
        <f t="shared" si="9"/>
        <v>0</v>
      </c>
      <c r="K67">
        <f t="shared" si="6"/>
        <v>0</v>
      </c>
    </row>
    <row r="68" spans="1:11" ht="13.5" thickBot="1">
      <c r="A68" s="3">
        <v>47</v>
      </c>
      <c r="B68" s="47"/>
      <c r="C68" s="49"/>
      <c r="D68" s="49"/>
      <c r="E68" s="49"/>
      <c r="F68" s="49"/>
      <c r="G68" s="49"/>
      <c r="H68" s="43"/>
      <c r="I68" s="44"/>
      <c r="J68">
        <f t="shared" si="9"/>
        <v>0</v>
      </c>
      <c r="K68">
        <f t="shared" si="6"/>
        <v>0</v>
      </c>
    </row>
    <row r="69" spans="1:11" ht="13.5" thickBot="1">
      <c r="A69" s="3">
        <v>48</v>
      </c>
      <c r="B69" s="47"/>
      <c r="C69" s="49"/>
      <c r="D69" s="49"/>
      <c r="E69" s="49"/>
      <c r="F69" s="49">
        <f>+SUM(C57:C68)</f>
        <v>318.2830023541423</v>
      </c>
      <c r="G69" s="49">
        <f>+SUM(D57:D68)</f>
        <v>31828.30023541321</v>
      </c>
      <c r="H69" s="43">
        <v>250000</v>
      </c>
      <c r="I69" s="44">
        <f>0.35*(F57+H57)</f>
        <v>97135.1548490062</v>
      </c>
      <c r="J69">
        <f t="shared" si="9"/>
        <v>-97135.1548490062</v>
      </c>
      <c r="K69">
        <f t="shared" si="6"/>
        <v>-63985.93517741129</v>
      </c>
    </row>
    <row r="70" spans="1:11" ht="13.5" thickBot="1">
      <c r="A70" s="3">
        <v>49</v>
      </c>
      <c r="B70" s="47"/>
      <c r="C70" s="49"/>
      <c r="D70" s="49"/>
      <c r="E70" s="49"/>
      <c r="F70" s="49"/>
      <c r="G70" s="49"/>
      <c r="H70" s="43"/>
      <c r="I70" s="44"/>
      <c r="J70">
        <f t="shared" si="9"/>
        <v>0</v>
      </c>
      <c r="K70">
        <f t="shared" si="6"/>
        <v>0</v>
      </c>
    </row>
    <row r="71" spans="1:11" ht="13.5" thickBot="1">
      <c r="A71" s="3">
        <v>50</v>
      </c>
      <c r="B71" s="47"/>
      <c r="C71" s="49"/>
      <c r="D71" s="49"/>
      <c r="E71" s="49"/>
      <c r="F71" s="49"/>
      <c r="G71" s="49"/>
      <c r="H71" s="43"/>
      <c r="I71" s="44"/>
      <c r="J71">
        <f t="shared" si="9"/>
        <v>0</v>
      </c>
      <c r="K71">
        <f t="shared" si="6"/>
        <v>0</v>
      </c>
    </row>
    <row r="72" spans="1:11" ht="13.5" thickBot="1">
      <c r="A72" s="3">
        <v>51</v>
      </c>
      <c r="B72" s="47"/>
      <c r="C72" s="49"/>
      <c r="D72" s="49"/>
      <c r="E72" s="49"/>
      <c r="F72" s="49"/>
      <c r="G72" s="49"/>
      <c r="H72" s="43"/>
      <c r="I72" s="44"/>
      <c r="J72">
        <f t="shared" si="9"/>
        <v>0</v>
      </c>
      <c r="K72">
        <f t="shared" si="6"/>
        <v>0</v>
      </c>
    </row>
    <row r="73" spans="1:11" ht="13.5" thickBot="1">
      <c r="A73" s="3">
        <v>52</v>
      </c>
      <c r="B73" s="47"/>
      <c r="C73" s="49"/>
      <c r="D73" s="49"/>
      <c r="E73" s="49"/>
      <c r="F73" s="49"/>
      <c r="G73" s="49"/>
      <c r="H73" s="43"/>
      <c r="I73" s="44"/>
      <c r="J73">
        <f t="shared" si="9"/>
        <v>0</v>
      </c>
      <c r="K73">
        <f t="shared" si="6"/>
        <v>0</v>
      </c>
    </row>
    <row r="74" spans="1:11" ht="13.5" thickBot="1">
      <c r="A74" s="3">
        <v>53</v>
      </c>
      <c r="B74" s="47"/>
      <c r="C74" s="49"/>
      <c r="D74" s="49"/>
      <c r="E74" s="49"/>
      <c r="F74" s="49"/>
      <c r="G74" s="49"/>
      <c r="H74" s="43"/>
      <c r="I74" s="44"/>
      <c r="J74">
        <f t="shared" si="9"/>
        <v>0</v>
      </c>
      <c r="K74">
        <f t="shared" si="6"/>
        <v>0</v>
      </c>
    </row>
    <row r="75" spans="1:11" ht="13.5" thickBot="1">
      <c r="A75" s="3">
        <v>54</v>
      </c>
      <c r="B75" s="47"/>
      <c r="C75" s="49"/>
      <c r="D75" s="49"/>
      <c r="E75" s="49"/>
      <c r="F75" s="49"/>
      <c r="G75" s="49"/>
      <c r="H75" s="43"/>
      <c r="I75" s="44"/>
      <c r="J75">
        <f t="shared" si="9"/>
        <v>0</v>
      </c>
      <c r="K75">
        <f t="shared" si="6"/>
        <v>0</v>
      </c>
    </row>
    <row r="76" spans="1:11" ht="13.5" thickBot="1">
      <c r="A76" s="3">
        <v>55</v>
      </c>
      <c r="B76" s="47"/>
      <c r="C76" s="49"/>
      <c r="D76" s="49"/>
      <c r="E76" s="49"/>
      <c r="F76" s="49"/>
      <c r="G76" s="49"/>
      <c r="H76" s="43"/>
      <c r="I76" s="44"/>
      <c r="J76">
        <f t="shared" si="9"/>
        <v>0</v>
      </c>
      <c r="K76">
        <f t="shared" si="6"/>
        <v>0</v>
      </c>
    </row>
    <row r="77" spans="1:11" ht="13.5" thickBot="1">
      <c r="A77" s="3">
        <v>56</v>
      </c>
      <c r="B77" s="47"/>
      <c r="C77" s="49"/>
      <c r="D77" s="49"/>
      <c r="E77" s="49"/>
      <c r="F77" s="49"/>
      <c r="G77" s="49"/>
      <c r="H77" s="43"/>
      <c r="I77" s="44"/>
      <c r="J77">
        <f t="shared" si="9"/>
        <v>0</v>
      </c>
      <c r="K77">
        <f t="shared" si="6"/>
        <v>0</v>
      </c>
    </row>
    <row r="78" spans="1:11" ht="13.5" thickBot="1">
      <c r="A78" s="3">
        <v>57</v>
      </c>
      <c r="B78" s="47"/>
      <c r="C78" s="49"/>
      <c r="D78" s="49"/>
      <c r="E78" s="49"/>
      <c r="F78" s="49"/>
      <c r="G78" s="49"/>
      <c r="H78" s="43"/>
      <c r="I78" s="44"/>
      <c r="J78">
        <f t="shared" si="9"/>
        <v>0</v>
      </c>
      <c r="K78">
        <f t="shared" si="6"/>
        <v>0</v>
      </c>
    </row>
    <row r="79" spans="1:11" ht="13.5" thickBot="1">
      <c r="A79" s="3">
        <v>58</v>
      </c>
      <c r="B79" s="47"/>
      <c r="C79" s="49"/>
      <c r="D79" s="49"/>
      <c r="E79" s="49"/>
      <c r="F79" s="49"/>
      <c r="G79" s="49"/>
      <c r="H79" s="43"/>
      <c r="I79" s="44"/>
      <c r="J79">
        <f t="shared" si="9"/>
        <v>0</v>
      </c>
      <c r="K79">
        <f t="shared" si="6"/>
        <v>0</v>
      </c>
    </row>
    <row r="80" spans="1:11" ht="13.5" thickBot="1">
      <c r="A80" s="3">
        <v>59</v>
      </c>
      <c r="B80" s="47"/>
      <c r="C80" s="49"/>
      <c r="D80" s="49"/>
      <c r="E80" s="49"/>
      <c r="F80" s="49"/>
      <c r="G80" s="49"/>
      <c r="H80" s="43"/>
      <c r="I80" s="44"/>
      <c r="J80">
        <f t="shared" si="9"/>
        <v>0</v>
      </c>
      <c r="K80">
        <f t="shared" si="6"/>
        <v>0</v>
      </c>
    </row>
    <row r="81" spans="1:11" ht="13.5" thickBot="1">
      <c r="A81" s="3">
        <v>60</v>
      </c>
      <c r="B81" s="47"/>
      <c r="C81" s="49"/>
      <c r="D81" s="49"/>
      <c r="E81" s="49"/>
      <c r="F81" s="49"/>
      <c r="G81" s="49"/>
      <c r="H81" s="43"/>
      <c r="I81" s="44">
        <f>0.35*(F69+H69)</f>
        <v>87611.39905082395</v>
      </c>
      <c r="J81">
        <f t="shared" si="9"/>
        <v>-87611.39905082395</v>
      </c>
      <c r="K81">
        <f t="shared" si="6"/>
        <v>-51993.101119779814</v>
      </c>
    </row>
    <row r="82" spans="1:9" ht="12.75">
      <c r="A82" s="3"/>
      <c r="B82" s="47"/>
      <c r="C82" s="49"/>
      <c r="D82" s="49"/>
      <c r="E82" s="49"/>
      <c r="F82" s="49"/>
      <c r="G82" s="49"/>
      <c r="H82" s="43"/>
      <c r="I82" s="44"/>
    </row>
    <row r="83" spans="6:9" ht="13.5" thickBot="1">
      <c r="F83" s="1"/>
      <c r="G83" s="2"/>
      <c r="H83" s="4"/>
      <c r="I83" s="1"/>
    </row>
    <row r="84" spans="6:9" ht="13.5" thickBot="1">
      <c r="F84" s="1"/>
      <c r="G84" s="2"/>
      <c r="H84" s="21" t="s">
        <v>9</v>
      </c>
      <c r="I84" s="22">
        <f>SUM(K21:K81)</f>
        <v>691724.5148827444</v>
      </c>
    </row>
    <row r="85" spans="6:9" ht="12.75">
      <c r="F85" s="1"/>
      <c r="G85" s="2"/>
      <c r="H85" s="4"/>
      <c r="I85" s="1"/>
    </row>
    <row r="86" spans="4:9" ht="12.75">
      <c r="D86" t="s">
        <v>13</v>
      </c>
      <c r="F86" s="1"/>
      <c r="G86" s="2"/>
      <c r="H86" s="4"/>
      <c r="I86" s="1"/>
    </row>
    <row r="87" spans="4:9" ht="12.75">
      <c r="D87" t="s">
        <v>14</v>
      </c>
      <c r="F87" s="1"/>
      <c r="G87" s="2"/>
      <c r="H87" s="4"/>
      <c r="I87" s="1"/>
    </row>
    <row r="88" spans="6:9" ht="12.75">
      <c r="F88" s="1"/>
      <c r="G88" s="2"/>
      <c r="H88" s="4"/>
      <c r="I88" s="1"/>
    </row>
    <row r="89" spans="6:7" ht="12.75">
      <c r="F89" s="1"/>
      <c r="G89" s="2"/>
    </row>
    <row r="90" spans="6:9" ht="12.75">
      <c r="F90" s="1"/>
      <c r="G90" s="2"/>
      <c r="H90" s="6"/>
      <c r="I90" s="5"/>
    </row>
  </sheetData>
  <printOptions/>
  <pageMargins left="0.75" right="0.75" top="1" bottom="1" header="0" footer="0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V16384"/>
    </sheetView>
  </sheetViews>
  <sheetFormatPr defaultColWidth="11.421875" defaultRowHeight="12.75"/>
  <cols>
    <col min="1" max="1" width="3.00390625" style="0" bestFit="1" customWidth="1"/>
    <col min="2" max="2" width="15.57421875" style="0" bestFit="1" customWidth="1"/>
    <col min="3" max="3" width="14.421875" style="0" bestFit="1" customWidth="1"/>
    <col min="4" max="4" width="15.421875" style="0" customWidth="1"/>
    <col min="5" max="5" width="15.421875" style="0" bestFit="1" customWidth="1"/>
    <col min="6" max="6" width="16.7109375" style="0" bestFit="1" customWidth="1"/>
    <col min="7" max="7" width="17.140625" style="0" bestFit="1" customWidth="1"/>
    <col min="8" max="8" width="14.421875" style="0" bestFit="1" customWidth="1"/>
    <col min="9" max="9" width="15.421875" style="0" bestFit="1" customWidth="1"/>
  </cols>
  <sheetData>
    <row r="1" ht="12.75">
      <c r="E1" s="42" t="s">
        <v>21</v>
      </c>
    </row>
    <row r="2" ht="13.5" thickBot="1">
      <c r="B2" s="3" t="s">
        <v>18</v>
      </c>
    </row>
    <row r="3" spans="2:9" s="3" customFormat="1" ht="13.5" thickBot="1">
      <c r="B3" s="7" t="s">
        <v>0</v>
      </c>
      <c r="C3" s="8" t="s">
        <v>2</v>
      </c>
      <c r="D3" s="8" t="s">
        <v>1</v>
      </c>
      <c r="E3" s="8" t="s">
        <v>4</v>
      </c>
      <c r="F3" s="8" t="s">
        <v>3</v>
      </c>
      <c r="G3" s="8" t="s">
        <v>5</v>
      </c>
      <c r="H3" s="8" t="s">
        <v>6</v>
      </c>
      <c r="I3" s="9" t="s">
        <v>20</v>
      </c>
    </row>
    <row r="4" spans="1:9" ht="12.75">
      <c r="A4" s="10">
        <v>0</v>
      </c>
      <c r="B4" s="13"/>
      <c r="C4" s="13"/>
      <c r="D4" s="13"/>
      <c r="E4" s="14">
        <v>1000000</v>
      </c>
      <c r="F4" s="13"/>
      <c r="G4" s="13"/>
      <c r="H4" s="27">
        <v>10000</v>
      </c>
      <c r="I4" s="28">
        <f aca="true" t="shared" si="0" ref="I4:I15">+H4*1.11^-A4</f>
        <v>10000</v>
      </c>
    </row>
    <row r="5" spans="1:9" ht="12.75">
      <c r="A5" s="11">
        <v>1</v>
      </c>
      <c r="B5" s="23">
        <f>+$E$4/((1-1.1^-3)/0.1)</f>
        <v>402114.8036253773</v>
      </c>
      <c r="C5" s="24">
        <f>+(E4)*0.1</f>
        <v>100000</v>
      </c>
      <c r="D5" s="25">
        <f>+B5-C5</f>
        <v>302114.8036253773</v>
      </c>
      <c r="E5" s="25">
        <f>+E4-D5</f>
        <v>697885.1963746226</v>
      </c>
      <c r="F5" s="25">
        <f>+$E$4*0.125</f>
        <v>125000</v>
      </c>
      <c r="G5" s="24">
        <f>+(I4)*0.35+0.05*E4</f>
        <v>53500</v>
      </c>
      <c r="H5" s="27">
        <f>+B5-G5</f>
        <v>348614.8036253773</v>
      </c>
      <c r="I5" s="28">
        <f t="shared" si="0"/>
        <v>314067.39065349306</v>
      </c>
    </row>
    <row r="6" spans="1:9" ht="12.75">
      <c r="A6" s="11">
        <v>2</v>
      </c>
      <c r="B6" s="23">
        <f>+$E$4/((1-1.1^-3)/0.1)</f>
        <v>402114.8036253773</v>
      </c>
      <c r="C6" s="24">
        <f>+(E5)*0.1</f>
        <v>69788.51963746226</v>
      </c>
      <c r="D6" s="25">
        <f>+B6-C6</f>
        <v>332326.283987915</v>
      </c>
      <c r="E6" s="25">
        <f>+E5-D6</f>
        <v>365558.9123867076</v>
      </c>
      <c r="F6" s="25">
        <f aca="true" t="shared" si="1" ref="F6:F12">+$E$4*0.125</f>
        <v>125000</v>
      </c>
      <c r="G6" s="24">
        <f>0.35*(C5+F5)</f>
        <v>78750</v>
      </c>
      <c r="H6" s="27">
        <f aca="true" t="shared" si="2" ref="H6:H15">+B6-G6</f>
        <v>323364.8036253773</v>
      </c>
      <c r="I6" s="28">
        <f t="shared" si="0"/>
        <v>262450.12874391465</v>
      </c>
    </row>
    <row r="7" spans="1:9" ht="12.75">
      <c r="A7" s="11">
        <v>3</v>
      </c>
      <c r="B7" s="23">
        <f>+$E$4/((1-1.1^-3)/0.1)</f>
        <v>402114.8036253773</v>
      </c>
      <c r="C7" s="24">
        <f>+(E6)*0.1</f>
        <v>36555.89123867076</v>
      </c>
      <c r="D7" s="25">
        <f>+B7-C7</f>
        <v>365558.91238670656</v>
      </c>
      <c r="E7" s="25">
        <f>+E6-D7</f>
        <v>1.0477378964424133E-09</v>
      </c>
      <c r="F7" s="25">
        <f t="shared" si="1"/>
        <v>125000</v>
      </c>
      <c r="G7" s="24">
        <f>0.35*(C6+F6)</f>
        <v>68175.9818731118</v>
      </c>
      <c r="H7" s="27">
        <f t="shared" si="2"/>
        <v>333938.8217522655</v>
      </c>
      <c r="I7" s="28">
        <f t="shared" si="0"/>
        <v>244173.1883470508</v>
      </c>
    </row>
    <row r="8" spans="1:9" ht="12.75">
      <c r="A8" s="11">
        <v>4</v>
      </c>
      <c r="B8" s="29"/>
      <c r="C8" s="26"/>
      <c r="D8" s="26"/>
      <c r="E8" s="26"/>
      <c r="F8" s="25">
        <f t="shared" si="1"/>
        <v>125000</v>
      </c>
      <c r="G8" s="24">
        <f aca="true" t="shared" si="3" ref="G8:G15">0.35*(C7+F7)</f>
        <v>56544.561933534766</v>
      </c>
      <c r="H8" s="27">
        <f t="shared" si="2"/>
        <v>-56544.561933534766</v>
      </c>
      <c r="I8" s="28">
        <f t="shared" si="0"/>
        <v>-37247.65436507965</v>
      </c>
    </row>
    <row r="9" spans="1:9" ht="12.75">
      <c r="A9" s="11">
        <v>5</v>
      </c>
      <c r="B9" s="29"/>
      <c r="C9" s="26"/>
      <c r="D9" s="26"/>
      <c r="E9" s="26"/>
      <c r="F9" s="25">
        <f t="shared" si="1"/>
        <v>125000</v>
      </c>
      <c r="G9" s="24">
        <f t="shared" si="3"/>
        <v>43750</v>
      </c>
      <c r="H9" s="27">
        <f t="shared" si="2"/>
        <v>-43750</v>
      </c>
      <c r="I9" s="28">
        <f t="shared" si="0"/>
        <v>-25963.49560256194</v>
      </c>
    </row>
    <row r="10" spans="1:9" ht="12.75">
      <c r="A10" s="11">
        <v>6</v>
      </c>
      <c r="B10" s="29"/>
      <c r="C10" s="26"/>
      <c r="D10" s="26"/>
      <c r="E10" s="26"/>
      <c r="F10" s="25">
        <f t="shared" si="1"/>
        <v>125000</v>
      </c>
      <c r="G10" s="24">
        <f t="shared" si="3"/>
        <v>43750</v>
      </c>
      <c r="H10" s="27">
        <f t="shared" si="2"/>
        <v>-43750</v>
      </c>
      <c r="I10" s="28">
        <f t="shared" si="0"/>
        <v>-23390.53657888463</v>
      </c>
    </row>
    <row r="11" spans="1:9" ht="12.75">
      <c r="A11" s="11">
        <v>7</v>
      </c>
      <c r="B11" s="29"/>
      <c r="C11" s="26"/>
      <c r="D11" s="26"/>
      <c r="E11" s="25"/>
      <c r="F11" s="25">
        <f t="shared" si="1"/>
        <v>125000</v>
      </c>
      <c r="G11" s="24">
        <f t="shared" si="3"/>
        <v>43750</v>
      </c>
      <c r="H11" s="27">
        <f t="shared" si="2"/>
        <v>-43750</v>
      </c>
      <c r="I11" s="28">
        <f t="shared" si="0"/>
        <v>-21072.55547647264</v>
      </c>
    </row>
    <row r="12" spans="1:9" ht="12.75">
      <c r="A12" s="11">
        <v>8</v>
      </c>
      <c r="B12" s="29"/>
      <c r="C12" s="26"/>
      <c r="D12" s="26"/>
      <c r="E12" s="26"/>
      <c r="F12" s="25">
        <f t="shared" si="1"/>
        <v>125000</v>
      </c>
      <c r="G12" s="24">
        <f t="shared" si="3"/>
        <v>43750</v>
      </c>
      <c r="H12" s="27">
        <f t="shared" si="2"/>
        <v>-43750</v>
      </c>
      <c r="I12" s="28">
        <f t="shared" si="0"/>
        <v>-18984.28421303841</v>
      </c>
    </row>
    <row r="13" spans="1:9" ht="12.75">
      <c r="A13" s="11">
        <v>9</v>
      </c>
      <c r="B13" s="29"/>
      <c r="C13" s="26"/>
      <c r="D13" s="26"/>
      <c r="E13" s="26"/>
      <c r="F13" s="25"/>
      <c r="G13" s="24">
        <f t="shared" si="3"/>
        <v>43750</v>
      </c>
      <c r="H13" s="27">
        <f t="shared" si="2"/>
        <v>-43750</v>
      </c>
      <c r="I13" s="28">
        <f t="shared" si="0"/>
        <v>-17102.95875048505</v>
      </c>
    </row>
    <row r="14" spans="1:9" ht="12.75">
      <c r="A14" s="11">
        <v>10</v>
      </c>
      <c r="B14" s="29"/>
      <c r="C14" s="26"/>
      <c r="D14" s="26"/>
      <c r="E14" s="26"/>
      <c r="F14" s="25"/>
      <c r="G14" s="24">
        <f t="shared" si="3"/>
        <v>0</v>
      </c>
      <c r="H14" s="27">
        <f t="shared" si="2"/>
        <v>0</v>
      </c>
      <c r="I14" s="28">
        <f t="shared" si="0"/>
        <v>0</v>
      </c>
    </row>
    <row r="15" spans="1:9" ht="13.5" thickBot="1">
      <c r="A15" s="12">
        <v>11</v>
      </c>
      <c r="B15" s="16"/>
      <c r="C15" s="16"/>
      <c r="D15" s="16"/>
      <c r="E15" s="16"/>
      <c r="F15" s="17"/>
      <c r="G15" s="18">
        <f t="shared" si="3"/>
        <v>0</v>
      </c>
      <c r="H15" s="19">
        <f t="shared" si="2"/>
        <v>0</v>
      </c>
      <c r="I15" s="20">
        <f t="shared" si="0"/>
        <v>0</v>
      </c>
    </row>
    <row r="16" spans="6:7" ht="13.5" thickBot="1">
      <c r="F16" s="1"/>
      <c r="G16" s="2"/>
    </row>
    <row r="17" spans="6:9" ht="13.5" thickBot="1">
      <c r="F17" s="1"/>
      <c r="G17" s="2"/>
      <c r="H17" s="21" t="s">
        <v>9</v>
      </c>
      <c r="I17" s="22">
        <f>SUM(I4:I15)</f>
        <v>686929.2227579363</v>
      </c>
    </row>
    <row r="18" ht="12.75">
      <c r="G18" s="2"/>
    </row>
    <row r="19" spans="2:4" ht="13.5" thickBot="1">
      <c r="B19" s="3" t="s">
        <v>10</v>
      </c>
      <c r="D19" s="3" t="s">
        <v>19</v>
      </c>
    </row>
    <row r="20" spans="1:9" ht="13.5" thickBot="1">
      <c r="A20" s="3"/>
      <c r="B20" s="7" t="s">
        <v>0</v>
      </c>
      <c r="C20" s="8" t="s">
        <v>2</v>
      </c>
      <c r="D20" s="8" t="s">
        <v>1</v>
      </c>
      <c r="E20" s="8" t="s">
        <v>4</v>
      </c>
      <c r="F20" s="8" t="s">
        <v>12</v>
      </c>
      <c r="G20" s="8" t="s">
        <v>5</v>
      </c>
      <c r="H20" s="8" t="s">
        <v>6</v>
      </c>
      <c r="I20" s="9" t="s">
        <v>8</v>
      </c>
    </row>
    <row r="21" spans="1:9" ht="12.75">
      <c r="A21" s="10">
        <v>0</v>
      </c>
      <c r="B21" s="30"/>
      <c r="C21" s="13"/>
      <c r="D21" s="13"/>
      <c r="E21" s="14">
        <v>1000000</v>
      </c>
      <c r="F21" s="13"/>
      <c r="G21" s="13"/>
      <c r="H21" s="13"/>
      <c r="I21" s="15"/>
    </row>
    <row r="22" spans="1:9" ht="12.75">
      <c r="A22" s="11">
        <v>1</v>
      </c>
      <c r="B22" s="23">
        <f>+$E$4/((1-1.12^-3)/0.12)</f>
        <v>416348.98055950657</v>
      </c>
      <c r="C22" s="24">
        <f>+(E21)*0.12</f>
        <v>120000</v>
      </c>
      <c r="D22" s="25">
        <f>+B22-C22</f>
        <v>296348.98055950657</v>
      </c>
      <c r="E22" s="25">
        <f>+E21-D22</f>
        <v>703651.0194404934</v>
      </c>
      <c r="F22" s="25">
        <f>+D22</f>
        <v>296348.98055950657</v>
      </c>
      <c r="G22" s="24">
        <f>0.05*E21</f>
        <v>50000</v>
      </c>
      <c r="H22" s="27">
        <f>+B22-G22</f>
        <v>366348.98055950657</v>
      </c>
      <c r="I22" s="28">
        <f>+H22*1.1^-A22</f>
        <v>333044.5277813696</v>
      </c>
    </row>
    <row r="23" spans="1:9" ht="12.75">
      <c r="A23" s="11">
        <v>2</v>
      </c>
      <c r="B23" s="23">
        <f>+$E$4/((1-1.12^-3)/0.12)</f>
        <v>416348.98055950657</v>
      </c>
      <c r="C23" s="24">
        <f>+(E22)*0.12</f>
        <v>84438.1223328592</v>
      </c>
      <c r="D23" s="25">
        <f>+B23-C23</f>
        <v>331910.85822664737</v>
      </c>
      <c r="E23" s="25">
        <f>+E22-D23</f>
        <v>371740.16121384606</v>
      </c>
      <c r="F23" s="25">
        <f>+$E$4*0.1*3</f>
        <v>300000</v>
      </c>
      <c r="G23" s="24">
        <f>0.35*(C22+F22)</f>
        <v>145722.1431958273</v>
      </c>
      <c r="H23" s="27">
        <f>+B23-G23</f>
        <v>270626.8373636793</v>
      </c>
      <c r="I23" s="28">
        <f>+H23*1.1^-A23</f>
        <v>223658.543275768</v>
      </c>
    </row>
    <row r="24" spans="1:9" ht="12.75">
      <c r="A24" s="11">
        <v>3</v>
      </c>
      <c r="B24" s="23">
        <f>+$E$4/((1-1.12^-3)/0.12)</f>
        <v>416348.98055950657</v>
      </c>
      <c r="C24" s="24">
        <f>+(E23)*0.12</f>
        <v>44608.819345661526</v>
      </c>
      <c r="D24" s="25">
        <f>+B24-C24</f>
        <v>371740.161213845</v>
      </c>
      <c r="E24" s="25">
        <f>+E23-D24</f>
        <v>1.0477378964424133E-09</v>
      </c>
      <c r="F24" s="25">
        <f>+$E$4*0.1*3</f>
        <v>300000</v>
      </c>
      <c r="G24" s="24">
        <f>0.35*(C23+F23)</f>
        <v>134553.34281650072</v>
      </c>
      <c r="H24" s="27">
        <f>+B24-G24</f>
        <v>281795.6377430059</v>
      </c>
      <c r="I24" s="28">
        <f>+H24*1.1^-A24</f>
        <v>211717.23346581953</v>
      </c>
    </row>
    <row r="25" spans="1:9" ht="12.75">
      <c r="A25" s="11">
        <v>4</v>
      </c>
      <c r="B25" s="29"/>
      <c r="C25" s="26"/>
      <c r="D25" s="26"/>
      <c r="E25" s="26"/>
      <c r="F25" s="25">
        <f>+E21-SUM(F22:F24)</f>
        <v>103651.01944049343</v>
      </c>
      <c r="G25" s="24">
        <f>0.35*(C24+F24)</f>
        <v>120613.08677098154</v>
      </c>
      <c r="H25" s="27">
        <f>+B25-G25</f>
        <v>-120613.08677098154</v>
      </c>
      <c r="I25" s="28">
        <f>+H25*1.1^-A25</f>
        <v>-82380.36115769518</v>
      </c>
    </row>
    <row r="26" spans="1:9" ht="13.5" thickBot="1">
      <c r="A26" s="12">
        <v>5</v>
      </c>
      <c r="B26" s="31"/>
      <c r="C26" s="16"/>
      <c r="D26" s="16"/>
      <c r="E26" s="16"/>
      <c r="F26" s="17"/>
      <c r="G26" s="18">
        <f>0.35*(C25+F25)</f>
        <v>36277.8568041727</v>
      </c>
      <c r="H26" s="19">
        <f>+B26-G26</f>
        <v>-36277.8568041727</v>
      </c>
      <c r="I26" s="20">
        <f>+H26*1.1^-A26</f>
        <v>-22525.694844597478</v>
      </c>
    </row>
    <row r="27" spans="6:9" ht="13.5" thickBot="1">
      <c r="F27" s="1"/>
      <c r="G27" s="2"/>
      <c r="H27" s="4"/>
      <c r="I27" s="1"/>
    </row>
    <row r="28" spans="6:9" ht="13.5" thickBot="1">
      <c r="F28" s="1"/>
      <c r="G28" s="2"/>
      <c r="H28" s="21" t="s">
        <v>9</v>
      </c>
      <c r="I28" s="22">
        <f>SUM(I22:I26)</f>
        <v>663514.2485206644</v>
      </c>
    </row>
    <row r="29" spans="6:9" ht="12.75">
      <c r="F29" s="1"/>
      <c r="G29" s="2"/>
      <c r="H29" s="4"/>
      <c r="I29" s="1"/>
    </row>
    <row r="30" spans="6:9" ht="12.75">
      <c r="F30" s="1"/>
      <c r="G30" s="2"/>
      <c r="H30" s="4"/>
      <c r="I30" s="1"/>
    </row>
    <row r="31" spans="4:9" ht="12.75">
      <c r="D31" t="s">
        <v>13</v>
      </c>
      <c r="F31" s="1"/>
      <c r="G31" s="2"/>
      <c r="H31" s="4"/>
      <c r="I31" s="1"/>
    </row>
    <row r="32" spans="4:9" ht="12.75">
      <c r="D32" t="s">
        <v>14</v>
      </c>
      <c r="F32" s="1"/>
      <c r="G32" s="2"/>
      <c r="H32" s="4"/>
      <c r="I32" s="1"/>
    </row>
    <row r="33" spans="6:7" ht="12.75">
      <c r="F33" s="1"/>
      <c r="G33" s="2"/>
    </row>
    <row r="34" spans="6:9" ht="12.75">
      <c r="F34" s="1"/>
      <c r="G34" s="2"/>
      <c r="H34" s="6"/>
      <c r="I34" s="5"/>
    </row>
  </sheetData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03" zoomScaleNormal="103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11.421875" defaultRowHeight="12.75"/>
  <cols>
    <col min="1" max="1" width="2.28125" style="0" bestFit="1" customWidth="1"/>
    <col min="2" max="2" width="18.7109375" style="0" bestFit="1" customWidth="1"/>
    <col min="3" max="3" width="15.7109375" style="0" bestFit="1" customWidth="1"/>
    <col min="4" max="4" width="16.7109375" style="0" customWidth="1"/>
    <col min="5" max="5" width="16.8515625" style="0" bestFit="1" customWidth="1"/>
    <col min="6" max="6" width="17.00390625" style="0" bestFit="1" customWidth="1"/>
    <col min="7" max="7" width="17.421875" style="0" bestFit="1" customWidth="1"/>
    <col min="8" max="9" width="16.8515625" style="0" bestFit="1" customWidth="1"/>
  </cols>
  <sheetData>
    <row r="1" ht="12.75">
      <c r="D1" t="s">
        <v>22</v>
      </c>
    </row>
    <row r="2" ht="13.5" thickBot="1">
      <c r="B2" s="3" t="s">
        <v>15</v>
      </c>
    </row>
    <row r="3" spans="2:9" s="3" customFormat="1" ht="13.5" thickBot="1">
      <c r="B3" s="7" t="s">
        <v>0</v>
      </c>
      <c r="C3" s="8" t="s">
        <v>2</v>
      </c>
      <c r="D3" s="8" t="s">
        <v>1</v>
      </c>
      <c r="E3" s="8" t="s">
        <v>4</v>
      </c>
      <c r="F3" s="8" t="s">
        <v>3</v>
      </c>
      <c r="G3" s="8" t="s">
        <v>5</v>
      </c>
      <c r="H3" s="8" t="s">
        <v>6</v>
      </c>
      <c r="I3" s="9" t="s">
        <v>8</v>
      </c>
    </row>
    <row r="4" spans="1:9" ht="12.75">
      <c r="A4" s="10">
        <v>0</v>
      </c>
      <c r="B4" s="13"/>
      <c r="C4" s="13"/>
      <c r="D4" s="13"/>
      <c r="E4" s="39">
        <v>40000000</v>
      </c>
      <c r="F4" s="40"/>
      <c r="G4" s="40"/>
      <c r="H4" s="13"/>
      <c r="I4" s="15"/>
    </row>
    <row r="5" spans="1:9" ht="12.75">
      <c r="A5" s="11">
        <v>1</v>
      </c>
      <c r="B5" s="23">
        <f>+$E$4/((1-1.08^-3)/0.08)</f>
        <v>15521340.56185312</v>
      </c>
      <c r="C5" s="24">
        <f>+(E4)*0.08</f>
        <v>3200000</v>
      </c>
      <c r="D5" s="25">
        <f>+B5-C5</f>
        <v>12321340.56185312</v>
      </c>
      <c r="E5" s="38">
        <f>+E4-D5</f>
        <v>27678659.43814688</v>
      </c>
      <c r="F5" s="38">
        <v>8000000</v>
      </c>
      <c r="G5" s="41">
        <f>0.05*$E$4</f>
        <v>2000000</v>
      </c>
      <c r="H5" s="27">
        <f aca="true" t="shared" si="0" ref="H5:H10">+B5-G5</f>
        <v>13521340.56185312</v>
      </c>
      <c r="I5" s="28">
        <f aca="true" t="shared" si="1" ref="I5:I10">+H5*1.1^-A5</f>
        <v>12292127.783502836</v>
      </c>
    </row>
    <row r="6" spans="1:9" ht="12.75">
      <c r="A6" s="11">
        <v>2</v>
      </c>
      <c r="B6" s="23">
        <f>+$E$4/((1-1.08^-3)/0.08)</f>
        <v>15521340.56185312</v>
      </c>
      <c r="C6" s="24">
        <f>+(E5)*0.08</f>
        <v>2214292.7550517507</v>
      </c>
      <c r="D6" s="25">
        <f>+B6-C6</f>
        <v>13307047.80680137</v>
      </c>
      <c r="E6" s="38">
        <f>+E5-D6</f>
        <v>14371611.631345512</v>
      </c>
      <c r="F6" s="38">
        <v>8000000</v>
      </c>
      <c r="G6" s="41">
        <f>0.35*(C5+F5)</f>
        <v>3919999.9999999995</v>
      </c>
      <c r="H6" s="27">
        <f t="shared" si="0"/>
        <v>11601340.56185312</v>
      </c>
      <c r="I6" s="28">
        <f t="shared" si="1"/>
        <v>9587884.761862082</v>
      </c>
    </row>
    <row r="7" spans="1:9" ht="12.75">
      <c r="A7" s="11">
        <v>3</v>
      </c>
      <c r="B7" s="23">
        <f>+$E$4/((1-1.08^-3)/0.08)</f>
        <v>15521340.56185312</v>
      </c>
      <c r="C7" s="24">
        <f>+(E6)*0.08</f>
        <v>1149728.930507641</v>
      </c>
      <c r="D7" s="25">
        <f>+B7-C7</f>
        <v>14371611.631345479</v>
      </c>
      <c r="E7" s="25">
        <f>+E6-D7</f>
        <v>3.3527612686157227E-08</v>
      </c>
      <c r="F7" s="25">
        <v>8000000</v>
      </c>
      <c r="G7" s="24">
        <f>0.35*(C6+F6)</f>
        <v>3575002.4642681126</v>
      </c>
      <c r="H7" s="27">
        <f t="shared" si="0"/>
        <v>11946338.097585008</v>
      </c>
      <c r="I7" s="28">
        <f t="shared" si="1"/>
        <v>8975460.62929001</v>
      </c>
    </row>
    <row r="8" spans="1:9" ht="12.75">
      <c r="A8" s="11">
        <v>4</v>
      </c>
      <c r="B8" s="29"/>
      <c r="C8" s="26"/>
      <c r="D8" s="26"/>
      <c r="E8" s="26"/>
      <c r="F8" s="25">
        <v>8000000</v>
      </c>
      <c r="G8" s="24">
        <f>0.35*(C7+F7)</f>
        <v>3202405.125677674</v>
      </c>
      <c r="H8" s="27">
        <f t="shared" si="0"/>
        <v>-3202405.125677674</v>
      </c>
      <c r="I8" s="28">
        <f t="shared" si="1"/>
        <v>-2187285.790367921</v>
      </c>
    </row>
    <row r="9" spans="1:9" ht="12.75">
      <c r="A9" s="11">
        <v>5</v>
      </c>
      <c r="B9" s="29"/>
      <c r="C9" s="26"/>
      <c r="D9" s="26"/>
      <c r="E9" s="26"/>
      <c r="F9" s="25">
        <v>8000000</v>
      </c>
      <c r="G9" s="24">
        <f>0.35*(C8+F8)</f>
        <v>2800000</v>
      </c>
      <c r="H9" s="27">
        <f t="shared" si="0"/>
        <v>-2800000</v>
      </c>
      <c r="I9" s="28">
        <f t="shared" si="1"/>
        <v>-1738579.7045656338</v>
      </c>
    </row>
    <row r="10" spans="1:9" ht="13.5" thickBot="1">
      <c r="A10" s="12">
        <v>6</v>
      </c>
      <c r="B10" s="36"/>
      <c r="C10" s="37"/>
      <c r="D10" s="37"/>
      <c r="E10" s="37"/>
      <c r="F10" s="32"/>
      <c r="G10" s="33">
        <f>0.35*(C9+F9)</f>
        <v>2800000</v>
      </c>
      <c r="H10" s="34">
        <f t="shared" si="0"/>
        <v>-2800000</v>
      </c>
      <c r="I10" s="35">
        <f t="shared" si="1"/>
        <v>-1580527.0041505762</v>
      </c>
    </row>
    <row r="11" spans="6:7" ht="13.5" thickBot="1">
      <c r="F11" s="1"/>
      <c r="G11" s="2"/>
    </row>
    <row r="12" spans="6:9" ht="13.5" thickBot="1">
      <c r="F12" s="1"/>
      <c r="G12" s="2"/>
      <c r="H12" s="21" t="s">
        <v>9</v>
      </c>
      <c r="I12" s="22">
        <f>SUM(I5:I10)</f>
        <v>25349080.675570797</v>
      </c>
    </row>
    <row r="13" ht="12.75">
      <c r="G13" s="2"/>
    </row>
    <row r="14" spans="2:4" ht="13.5" thickBot="1">
      <c r="B14" s="3" t="s">
        <v>16</v>
      </c>
      <c r="D14" s="3" t="s">
        <v>17</v>
      </c>
    </row>
    <row r="15" spans="1:9" ht="13.5" thickBot="1">
      <c r="A15" s="3"/>
      <c r="B15" s="7" t="s">
        <v>0</v>
      </c>
      <c r="C15" s="8" t="s">
        <v>2</v>
      </c>
      <c r="D15" s="8" t="s">
        <v>1</v>
      </c>
      <c r="E15" s="8" t="s">
        <v>4</v>
      </c>
      <c r="F15" s="8" t="s">
        <v>12</v>
      </c>
      <c r="G15" s="8" t="s">
        <v>5</v>
      </c>
      <c r="H15" s="8" t="s">
        <v>6</v>
      </c>
      <c r="I15" s="9" t="s">
        <v>8</v>
      </c>
    </row>
    <row r="16" spans="1:9" ht="12.75">
      <c r="A16" s="10">
        <v>0</v>
      </c>
      <c r="B16" s="30"/>
      <c r="C16" s="13"/>
      <c r="D16" s="13"/>
      <c r="E16" s="14">
        <v>40000000</v>
      </c>
      <c r="F16" s="13"/>
      <c r="G16" s="13"/>
      <c r="H16" s="13"/>
      <c r="I16" s="15"/>
    </row>
    <row r="17" spans="1:9" ht="12.75">
      <c r="A17" s="11">
        <v>1</v>
      </c>
      <c r="B17" s="23">
        <f>+$E$16/((1-1.1^-3)/0.1)</f>
        <v>16084592.14501509</v>
      </c>
      <c r="C17" s="24">
        <f>+(E16)*0.1</f>
        <v>4000000</v>
      </c>
      <c r="D17" s="25">
        <f>+B17-C17</f>
        <v>12084592.14501509</v>
      </c>
      <c r="E17" s="25">
        <f>+E16-D17</f>
        <v>27915407.85498491</v>
      </c>
      <c r="F17" s="25">
        <f>+D17</f>
        <v>12084592.14501509</v>
      </c>
      <c r="G17" s="24">
        <f>0.05*$E$16</f>
        <v>2000000</v>
      </c>
      <c r="H17" s="27">
        <f>+B17-G17</f>
        <v>14084592.14501509</v>
      </c>
      <c r="I17" s="28">
        <f>+H17*1.1^-A17</f>
        <v>12804174.677286446</v>
      </c>
    </row>
    <row r="18" spans="1:9" ht="12.75">
      <c r="A18" s="11">
        <v>2</v>
      </c>
      <c r="B18" s="23">
        <f>+$E$16/((1-1.1^-3)/0.1)</f>
        <v>16084592.14501509</v>
      </c>
      <c r="C18" s="24">
        <f>+(E17)*0.1</f>
        <v>2791540.785498491</v>
      </c>
      <c r="D18" s="25">
        <f>+B18-C18</f>
        <v>13293051.3595166</v>
      </c>
      <c r="E18" s="25">
        <f>+E17-D18</f>
        <v>14622356.49546831</v>
      </c>
      <c r="F18" s="25">
        <f>+D18</f>
        <v>13293051.3595166</v>
      </c>
      <c r="G18" s="24">
        <f>0.35*(C17+F17)</f>
        <v>5629607.250755281</v>
      </c>
      <c r="H18" s="27">
        <f>+B18-G18</f>
        <v>10454984.89425981</v>
      </c>
      <c r="I18" s="28">
        <f>+H18*1.1^-A18</f>
        <v>8640483.383685794</v>
      </c>
    </row>
    <row r="19" spans="1:9" ht="12.75">
      <c r="A19" s="11">
        <v>3</v>
      </c>
      <c r="B19" s="23">
        <f>+$E$16/((1-1.1^-3)/0.1)</f>
        <v>16084592.14501509</v>
      </c>
      <c r="C19" s="24">
        <f>+(E18)*0.1</f>
        <v>1462235.649546831</v>
      </c>
      <c r="D19" s="25">
        <f>+B19-C19</f>
        <v>14622356.495468259</v>
      </c>
      <c r="E19" s="25">
        <f>+E18-D19</f>
        <v>5.029141902923584E-08</v>
      </c>
      <c r="F19" s="25">
        <f>+D19</f>
        <v>14622356.495468259</v>
      </c>
      <c r="G19" s="24">
        <f>0.35*(C18+F18)</f>
        <v>5629607.250755281</v>
      </c>
      <c r="H19" s="27">
        <f>+B19-G19</f>
        <v>10454984.89425981</v>
      </c>
      <c r="I19" s="28">
        <f>+H19*1.1^-A19</f>
        <v>7854984.89425981</v>
      </c>
    </row>
    <row r="20" spans="1:9" ht="12.75">
      <c r="A20" s="11">
        <v>4</v>
      </c>
      <c r="B20" s="29"/>
      <c r="C20" s="26"/>
      <c r="D20" s="26"/>
      <c r="E20" s="26"/>
      <c r="F20" s="25"/>
      <c r="G20" s="24">
        <f>0.35*(C19+F19)</f>
        <v>5629607.250755281</v>
      </c>
      <c r="H20" s="27">
        <f>+B20-G20</f>
        <v>-5629607.250755281</v>
      </c>
      <c r="I20" s="28">
        <f>+H20*1.1^-A20</f>
        <v>-3845097.5006866194</v>
      </c>
    </row>
    <row r="21" spans="1:9" ht="13.5" thickBot="1">
      <c r="A21" s="12">
        <v>5</v>
      </c>
      <c r="B21" s="31"/>
      <c r="C21" s="16"/>
      <c r="D21" s="16"/>
      <c r="E21" s="16"/>
      <c r="F21" s="17"/>
      <c r="G21" s="18">
        <f>0.35*(C20+F20)</f>
        <v>0</v>
      </c>
      <c r="H21" s="19">
        <f>+B21-G21</f>
        <v>0</v>
      </c>
      <c r="I21" s="20">
        <f>+H21*1.1^-A21</f>
        <v>0</v>
      </c>
    </row>
    <row r="22" spans="6:9" ht="13.5" thickBot="1">
      <c r="F22" s="1"/>
      <c r="G22" s="2"/>
      <c r="H22" s="4"/>
      <c r="I22" s="1"/>
    </row>
    <row r="23" spans="6:9" ht="13.5" thickBot="1">
      <c r="F23" s="1"/>
      <c r="G23" s="2"/>
      <c r="H23" s="21" t="s">
        <v>9</v>
      </c>
      <c r="I23" s="22">
        <f>SUM(I17:I21)</f>
        <v>25454545.45454543</v>
      </c>
    </row>
    <row r="24" spans="6:9" ht="12.75">
      <c r="F24" s="1"/>
      <c r="G24" s="2"/>
      <c r="H24" s="4"/>
      <c r="I24" s="1"/>
    </row>
    <row r="25" spans="6:9" ht="12.75">
      <c r="F25" s="1"/>
      <c r="G25" s="2"/>
      <c r="H25" s="4"/>
      <c r="I25" s="1"/>
    </row>
    <row r="26" spans="6:9" ht="12.75">
      <c r="F26" s="1"/>
      <c r="G26" s="2"/>
      <c r="H26" s="4"/>
      <c r="I26" s="1"/>
    </row>
    <row r="27" spans="6:9" ht="12.75">
      <c r="F27" s="1"/>
      <c r="G27" s="2"/>
      <c r="H27" s="4"/>
      <c r="I27" s="1"/>
    </row>
    <row r="28" spans="6:7" ht="12.75">
      <c r="F28" s="1"/>
      <c r="G28" s="2"/>
    </row>
    <row r="29" spans="6:9" ht="12.75">
      <c r="F29" s="1"/>
      <c r="G29" s="2"/>
      <c r="H29" s="6"/>
      <c r="I29" s="5"/>
    </row>
  </sheetData>
  <printOptions/>
  <pageMargins left="0.65" right="0.75" top="0.9" bottom="1" header="0.4" footer="0"/>
  <pageSetup horizontalDpi="300" verticalDpi="300" orientation="landscape" paperSize="9" r:id="rId3"/>
  <headerFooter alignWithMargins="0">
    <oddHeader>&amp;CEJERCICIO 3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Peña</dc:creator>
  <cp:keywords/>
  <dc:description/>
  <cp:lastModifiedBy>miguel angel</cp:lastModifiedBy>
  <cp:lastPrinted>2005-04-19T09:54:26Z</cp:lastPrinted>
  <dcterms:created xsi:type="dcterms:W3CDTF">2002-04-24T18:25:05Z</dcterms:created>
  <dcterms:modified xsi:type="dcterms:W3CDTF">2011-05-06T10:03:00Z</dcterms:modified>
  <cp:category/>
  <cp:version/>
  <cp:contentType/>
  <cp:contentStatus/>
</cp:coreProperties>
</file>