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sierzubizarreta/Library/CloudStorage/Dropbox/Planes Estudio/P1. Propuestas Titulaciones/B_Nuevas Titulaciones/2025_Enseñanzas Nautico-Marinas/5_Adaptación/Adaptación GMyMN/"/>
    </mc:Choice>
  </mc:AlternateContent>
  <xr:revisionPtr revIDLastSave="0" documentId="13_ncr:1_{730F7DD8-110F-574D-8F5E-E030E226A4AC}" xr6:coauthVersionLast="47" xr6:coauthVersionMax="47" xr10:uidLastSave="{00000000-0000-0000-0000-000000000000}"/>
  <workbookProtection workbookAlgorithmName="SHA-512" workbookHashValue="Ors9Vesc7mxKZSTSyv8LJk7FyDWyy+tvkEfdUESiHMJz8yzzSt50k1WgNG+q/mnd1MGFPcamzPH/7lwHZvIeMw==" workbookSaltValue="nvHvPyjg1DLdpC79MIH74g==" workbookSpinCount="100000" lockStructure="1"/>
  <bookViews>
    <workbookView xWindow="340" yWindow="1300" windowWidth="51200" windowHeight="25940" xr2:uid="{10D8A660-803D-CB4C-83B6-0D6F9EB28CAE}"/>
  </bookViews>
  <sheets>
    <sheet name="Simulador" sheetId="13" r:id="rId1"/>
    <sheet name="Certificados de Suficiencia" sheetId="21" state="hidden" r:id="rId2"/>
    <sheet name="TablaAdaptaciónAsignaturas" sheetId="14" state="hidden" r:id="rId3"/>
    <sheet name="TablaAdaptacionModulos" sheetId="15" state="hidden" r:id="rId4"/>
    <sheet name="TablaAdaptaciónCondParticulares" sheetId="17" state="hidden" r:id="rId5"/>
    <sheet name="Tabla Adaptacion Optativas" sheetId="19" state="hidden" r:id="rId6"/>
    <sheet name="Especialidades" sheetId="20" state="hidden" r:id="rId7"/>
  </sheets>
  <definedNames>
    <definedName name="ListadoAsignatura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Z8" i="14" l="1" a="1"/>
  <c r="BZ8" i="14" s="1"/>
  <c r="CH8" i="14" s="1"/>
  <c r="BZ9" i="14" a="1"/>
  <c r="BZ9" i="14" s="1"/>
  <c r="CH9" i="14" s="1"/>
  <c r="BZ10" i="14" a="1"/>
  <c r="BZ10" i="14" s="1"/>
  <c r="CH10" i="14" s="1"/>
  <c r="BZ11" i="14" a="1"/>
  <c r="BZ11" i="14" s="1"/>
  <c r="CH11" i="14" s="1"/>
  <c r="BZ12" i="14" a="1"/>
  <c r="BZ12" i="14" s="1"/>
  <c r="CH12" i="14" s="1"/>
  <c r="BZ13" i="14" a="1"/>
  <c r="BZ13" i="14" s="1"/>
  <c r="CH13" i="14" s="1"/>
  <c r="BZ14" i="14" a="1"/>
  <c r="BZ14" i="14" s="1"/>
  <c r="CH14" i="14" s="1"/>
  <c r="BZ15" i="14" a="1"/>
  <c r="BZ15" i="14" s="1"/>
  <c r="CH15" i="14" s="1"/>
  <c r="BZ16" i="14" a="1"/>
  <c r="BZ16" i="14" s="1"/>
  <c r="CH16" i="14" s="1"/>
  <c r="BZ17" i="14" a="1"/>
  <c r="BZ17" i="14" s="1"/>
  <c r="CH17" i="14" s="1"/>
  <c r="BZ18" i="14" a="1"/>
  <c r="BZ18" i="14" s="1"/>
  <c r="CH18" i="14" s="1"/>
  <c r="BZ19" i="14" a="1"/>
  <c r="BZ19" i="14" s="1"/>
  <c r="CH19" i="14" s="1"/>
  <c r="BZ20" i="14" a="1"/>
  <c r="BZ20" i="14" s="1"/>
  <c r="CH20" i="14" s="1"/>
  <c r="BZ21" i="14" a="1"/>
  <c r="BZ21" i="14" s="1"/>
  <c r="CH21" i="14" s="1"/>
  <c r="BZ22" i="14" a="1"/>
  <c r="BZ22" i="14" s="1"/>
  <c r="CH22" i="14" s="1"/>
  <c r="BZ23" i="14" a="1"/>
  <c r="BZ23" i="14" s="1"/>
  <c r="CH23" i="14" s="1"/>
  <c r="BZ24" i="14" a="1"/>
  <c r="BZ24" i="14" s="1"/>
  <c r="CH24" i="14" s="1"/>
  <c r="BZ25" i="14" a="1"/>
  <c r="BZ25" i="14" s="1"/>
  <c r="CH25" i="14" s="1"/>
  <c r="BZ26" i="14" a="1"/>
  <c r="BZ26" i="14" s="1"/>
  <c r="CH26" i="14" s="1"/>
  <c r="BZ27" i="14" a="1"/>
  <c r="BZ27" i="14" s="1"/>
  <c r="CH27" i="14" s="1"/>
  <c r="BZ28" i="14" a="1"/>
  <c r="BZ28" i="14" s="1"/>
  <c r="CH28" i="14" s="1"/>
  <c r="BZ29" i="14" a="1"/>
  <c r="BZ29" i="14" s="1"/>
  <c r="CH29" i="14" s="1"/>
  <c r="BZ30" i="14" a="1"/>
  <c r="BZ30" i="14" s="1"/>
  <c r="CH30" i="14" s="1"/>
  <c r="BZ31" i="14" a="1"/>
  <c r="BZ31" i="14" s="1"/>
  <c r="CH31" i="14" s="1"/>
  <c r="BZ32" i="14" a="1"/>
  <c r="BZ32" i="14" s="1"/>
  <c r="CH32" i="14" s="1"/>
  <c r="BZ33" i="14" a="1"/>
  <c r="BZ33" i="14" s="1"/>
  <c r="CH33" i="14" s="1"/>
  <c r="BZ34" i="14" a="1"/>
  <c r="BZ34" i="14" s="1"/>
  <c r="CH34" i="14" s="1"/>
  <c r="BZ35" i="14" a="1"/>
  <c r="BZ35" i="14" s="1"/>
  <c r="CH35" i="14" s="1"/>
  <c r="BZ36" i="14" a="1"/>
  <c r="BZ36" i="14" s="1"/>
  <c r="CH36" i="14" s="1"/>
  <c r="BZ37" i="14" a="1"/>
  <c r="BZ37" i="14" s="1"/>
  <c r="CH37" i="14" s="1"/>
  <c r="BZ38" i="14" a="1"/>
  <c r="BZ38" i="14" s="1"/>
  <c r="CH38" i="14" s="1"/>
  <c r="BZ39" i="14" a="1"/>
  <c r="BZ39" i="14" s="1"/>
  <c r="CH39" i="14" s="1"/>
  <c r="BZ40" i="14" a="1"/>
  <c r="BZ40" i="14" s="1"/>
  <c r="CH40" i="14" s="1"/>
  <c r="BZ41" i="14" a="1"/>
  <c r="BZ41" i="14" s="1"/>
  <c r="BZ42" i="14" a="1"/>
  <c r="BZ42" i="14" s="1"/>
  <c r="CH42" i="14" s="1"/>
  <c r="BZ43" i="14" a="1"/>
  <c r="BZ43" i="14" s="1"/>
  <c r="CH43" i="14" s="1"/>
  <c r="BZ44" i="14" a="1"/>
  <c r="BZ44" i="14" s="1"/>
  <c r="CH44" i="14" s="1"/>
  <c r="BZ45" i="14" a="1"/>
  <c r="BZ45" i="14" s="1"/>
  <c r="CH45" i="14" s="1"/>
  <c r="BZ46" i="14" a="1"/>
  <c r="BZ46" i="14" s="1"/>
  <c r="CH46" i="14" s="1"/>
  <c r="BZ47" i="14" a="1"/>
  <c r="BZ47" i="14" s="1"/>
  <c r="CH47" i="14" s="1"/>
  <c r="BY8" i="14" a="1"/>
  <c r="BY8" i="14" s="1"/>
  <c r="CG8" i="14" s="1"/>
  <c r="BY9" i="14" a="1"/>
  <c r="BY9" i="14" s="1"/>
  <c r="CG9" i="14" s="1"/>
  <c r="BY10" i="14" a="1"/>
  <c r="BY10" i="14" s="1"/>
  <c r="CG10" i="14" s="1"/>
  <c r="BY11" i="14" a="1"/>
  <c r="BY11" i="14" s="1"/>
  <c r="CG11" i="14" s="1"/>
  <c r="BY12" i="14" a="1"/>
  <c r="BY12" i="14" s="1"/>
  <c r="CG12" i="14" s="1"/>
  <c r="BY13" i="14" a="1"/>
  <c r="BY13" i="14" s="1"/>
  <c r="CG13" i="14" s="1"/>
  <c r="BY14" i="14" a="1"/>
  <c r="BY14" i="14" s="1"/>
  <c r="CG14" i="14" s="1"/>
  <c r="BY15" i="14" a="1"/>
  <c r="BY15" i="14" s="1"/>
  <c r="CG15" i="14" s="1"/>
  <c r="BY16" i="14" a="1"/>
  <c r="BY16" i="14" s="1"/>
  <c r="CG16" i="14" s="1"/>
  <c r="BY17" i="14" a="1"/>
  <c r="BY17" i="14" s="1"/>
  <c r="CG17" i="14" s="1"/>
  <c r="BY18" i="14" a="1"/>
  <c r="BY18" i="14" s="1"/>
  <c r="CG18" i="14" s="1"/>
  <c r="BY19" i="14" a="1"/>
  <c r="BY19" i="14" s="1"/>
  <c r="CG19" i="14" s="1"/>
  <c r="BY20" i="14" a="1"/>
  <c r="BY20" i="14" s="1"/>
  <c r="CG20" i="14" s="1"/>
  <c r="BY21" i="14" a="1"/>
  <c r="BY21" i="14" s="1"/>
  <c r="CG21" i="14" s="1"/>
  <c r="BY22" i="14" a="1"/>
  <c r="BY22" i="14" s="1"/>
  <c r="CG22" i="14" s="1"/>
  <c r="BY23" i="14" a="1"/>
  <c r="BY23" i="14" s="1"/>
  <c r="CG23" i="14" s="1"/>
  <c r="BY24" i="14" a="1"/>
  <c r="BY24" i="14" s="1"/>
  <c r="CG24" i="14" s="1"/>
  <c r="BY25" i="14" a="1"/>
  <c r="BY25" i="14" s="1"/>
  <c r="CG25" i="14" s="1"/>
  <c r="BY26" i="14" a="1"/>
  <c r="BY26" i="14" s="1"/>
  <c r="CG26" i="14" s="1"/>
  <c r="BY27" i="14" a="1"/>
  <c r="BY27" i="14" s="1"/>
  <c r="CG27" i="14" s="1"/>
  <c r="BY28" i="14" a="1"/>
  <c r="BY28" i="14" s="1"/>
  <c r="CG28" i="14" s="1"/>
  <c r="BY29" i="14" a="1"/>
  <c r="BY29" i="14" s="1"/>
  <c r="CG29" i="14" s="1"/>
  <c r="BY30" i="14" a="1"/>
  <c r="BY30" i="14" s="1"/>
  <c r="CG30" i="14" s="1"/>
  <c r="BY31" i="14" a="1"/>
  <c r="BY31" i="14" s="1"/>
  <c r="CG31" i="14" s="1"/>
  <c r="BY32" i="14" a="1"/>
  <c r="BY32" i="14" s="1"/>
  <c r="CG32" i="14" s="1"/>
  <c r="BY33" i="14" a="1"/>
  <c r="BY33" i="14" s="1"/>
  <c r="CG33" i="14" s="1"/>
  <c r="BY34" i="14" a="1"/>
  <c r="BY34" i="14" s="1"/>
  <c r="CG34" i="14" s="1"/>
  <c r="BY35" i="14" a="1"/>
  <c r="BY35" i="14" s="1"/>
  <c r="CG35" i="14" s="1"/>
  <c r="BY36" i="14" a="1"/>
  <c r="BY36" i="14" s="1"/>
  <c r="CG36" i="14" s="1"/>
  <c r="BY37" i="14" a="1"/>
  <c r="BY37" i="14" s="1"/>
  <c r="CG37" i="14" s="1"/>
  <c r="BY38" i="14" a="1"/>
  <c r="BY38" i="14" s="1"/>
  <c r="CG38" i="14" s="1"/>
  <c r="BY39" i="14" a="1"/>
  <c r="BY39" i="14" s="1"/>
  <c r="CG39" i="14" s="1"/>
  <c r="BY40" i="14" a="1"/>
  <c r="BY40" i="14" s="1"/>
  <c r="CG40" i="14" s="1"/>
  <c r="BY41" i="14" a="1"/>
  <c r="BY41" i="14" s="1"/>
  <c r="BY42" i="14" a="1"/>
  <c r="BY42" i="14" s="1"/>
  <c r="CG42" i="14" s="1"/>
  <c r="BY43" i="14" a="1"/>
  <c r="BY43" i="14" s="1"/>
  <c r="CG43" i="14" s="1"/>
  <c r="BY44" i="14" a="1"/>
  <c r="BY44" i="14" s="1"/>
  <c r="CG44" i="14" s="1"/>
  <c r="BY45" i="14" a="1"/>
  <c r="BY45" i="14" s="1"/>
  <c r="CG45" i="14" s="1"/>
  <c r="BY46" i="14" a="1"/>
  <c r="BY46" i="14" s="1"/>
  <c r="CG46" i="14" s="1"/>
  <c r="BY47" i="14" a="1"/>
  <c r="BY47" i="14" s="1"/>
  <c r="CG47" i="14" s="1"/>
  <c r="K9" i="21"/>
  <c r="K11" i="21"/>
  <c r="K12" i="21"/>
  <c r="K13" i="21"/>
  <c r="K14" i="21"/>
  <c r="K15" i="21"/>
  <c r="K16" i="21"/>
  <c r="K17" i="21"/>
  <c r="K18" i="21"/>
  <c r="K10" i="21"/>
  <c r="G16" i="17"/>
  <c r="H16" i="17"/>
  <c r="I16" i="17"/>
  <c r="J16" i="17"/>
  <c r="G17" i="17"/>
  <c r="H17" i="17"/>
  <c r="I17" i="17"/>
  <c r="J17" i="17"/>
  <c r="G18" i="17"/>
  <c r="H18" i="17"/>
  <c r="I18" i="17"/>
  <c r="J18" i="17"/>
  <c r="G19" i="17"/>
  <c r="H19" i="17"/>
  <c r="I19" i="17"/>
  <c r="J19" i="17"/>
  <c r="G20" i="17"/>
  <c r="H20" i="17"/>
  <c r="I20" i="17"/>
  <c r="J20" i="17"/>
  <c r="G21" i="17"/>
  <c r="H21" i="17"/>
  <c r="I21" i="17"/>
  <c r="J21" i="17"/>
  <c r="G22" i="17"/>
  <c r="H22" i="17"/>
  <c r="I22" i="17"/>
  <c r="J22" i="17"/>
  <c r="G23" i="17"/>
  <c r="H23" i="17"/>
  <c r="I23" i="17"/>
  <c r="J23" i="17"/>
  <c r="G24" i="17"/>
  <c r="H24" i="17"/>
  <c r="I24" i="17"/>
  <c r="J24" i="17"/>
  <c r="G25" i="17"/>
  <c r="H25" i="17"/>
  <c r="I25" i="17"/>
  <c r="J25" i="17"/>
  <c r="G26" i="17"/>
  <c r="H26" i="17"/>
  <c r="I26" i="17"/>
  <c r="J26" i="17"/>
  <c r="G27" i="17"/>
  <c r="H27" i="17"/>
  <c r="I27" i="17"/>
  <c r="J27" i="17"/>
  <c r="G28" i="17"/>
  <c r="H28" i="17"/>
  <c r="I28" i="17"/>
  <c r="J28" i="17"/>
  <c r="G29" i="17"/>
  <c r="H29" i="17"/>
  <c r="I29" i="17"/>
  <c r="J29" i="17"/>
  <c r="G30" i="17"/>
  <c r="H30" i="17"/>
  <c r="I30" i="17"/>
  <c r="J30" i="17"/>
  <c r="G31" i="17"/>
  <c r="H31" i="17"/>
  <c r="I31" i="17"/>
  <c r="J31" i="17"/>
  <c r="G32" i="17"/>
  <c r="H32" i="17"/>
  <c r="I32" i="17"/>
  <c r="J32" i="17"/>
  <c r="G33" i="17"/>
  <c r="H33" i="17"/>
  <c r="I33" i="17"/>
  <c r="J33" i="17"/>
  <c r="G34" i="17"/>
  <c r="H34" i="17"/>
  <c r="I34" i="17"/>
  <c r="J34" i="17"/>
  <c r="G35" i="17"/>
  <c r="H35" i="17"/>
  <c r="I35" i="17"/>
  <c r="J35" i="17"/>
  <c r="G36" i="17"/>
  <c r="H36" i="17"/>
  <c r="I36" i="17"/>
  <c r="J36" i="17"/>
  <c r="G37" i="17"/>
  <c r="H37" i="17"/>
  <c r="I37" i="17"/>
  <c r="J37" i="17"/>
  <c r="G38" i="17"/>
  <c r="H38" i="17"/>
  <c r="I38" i="17"/>
  <c r="J38" i="17"/>
  <c r="G39" i="17"/>
  <c r="H39" i="17"/>
  <c r="I39" i="17"/>
  <c r="J39" i="17"/>
  <c r="G40" i="17"/>
  <c r="H40" i="17"/>
  <c r="I40" i="17"/>
  <c r="J40" i="17"/>
  <c r="G41" i="17"/>
  <c r="H41" i="17"/>
  <c r="I41" i="17"/>
  <c r="J41" i="17"/>
  <c r="G42" i="17"/>
  <c r="H42" i="17"/>
  <c r="I42" i="17"/>
  <c r="J42" i="17"/>
  <c r="G43" i="17"/>
  <c r="H43" i="17"/>
  <c r="I43" i="17"/>
  <c r="J43" i="17"/>
  <c r="G44" i="17"/>
  <c r="H44" i="17"/>
  <c r="I44" i="17"/>
  <c r="J44" i="17"/>
  <c r="G45" i="17"/>
  <c r="H45" i="17"/>
  <c r="I45" i="17"/>
  <c r="J45" i="17"/>
  <c r="G46" i="17"/>
  <c r="H46" i="17"/>
  <c r="I46" i="17"/>
  <c r="J46" i="17"/>
  <c r="G47" i="17"/>
  <c r="H47" i="17"/>
  <c r="I47" i="17"/>
  <c r="J47" i="17"/>
  <c r="J15" i="17"/>
  <c r="I15" i="17"/>
  <c r="H15" i="17"/>
  <c r="G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15" i="17"/>
  <c r="F16" i="17"/>
  <c r="F17" i="17"/>
  <c r="F18" i="17"/>
  <c r="F19" i="17"/>
  <c r="F20" i="17"/>
  <c r="F21" i="17"/>
  <c r="F22" i="17"/>
  <c r="F23" i="17"/>
  <c r="F24" i="17"/>
  <c r="F25" i="17"/>
  <c r="F26" i="17"/>
  <c r="F27" i="17"/>
  <c r="F28" i="17"/>
  <c r="F29" i="17"/>
  <c r="F30" i="17"/>
  <c r="F31" i="17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15" i="17"/>
  <c r="M35" i="13"/>
  <c r="Q25" i="21"/>
  <c r="R25" i="21"/>
  <c r="S25" i="21"/>
  <c r="P26" i="21"/>
  <c r="Q26" i="21"/>
  <c r="R26" i="21"/>
  <c r="S26" i="21"/>
  <c r="R27" i="21"/>
  <c r="S27" i="21"/>
  <c r="R28" i="21"/>
  <c r="S28" i="21"/>
  <c r="P29" i="21"/>
  <c r="Q29" i="21"/>
  <c r="R29" i="21"/>
  <c r="S29" i="21"/>
  <c r="P30" i="21"/>
  <c r="Q30" i="21"/>
  <c r="R30" i="21"/>
  <c r="S30" i="21"/>
  <c r="P31" i="21"/>
  <c r="Q31" i="21"/>
  <c r="R31" i="21"/>
  <c r="S31" i="21"/>
  <c r="P32" i="21"/>
  <c r="Q32" i="21"/>
  <c r="R32" i="21"/>
  <c r="S32" i="21"/>
  <c r="P33" i="21"/>
  <c r="Q33" i="21"/>
  <c r="R33" i="21"/>
  <c r="S33" i="21"/>
  <c r="S24" i="21"/>
  <c r="R24" i="21"/>
  <c r="Q24" i="21"/>
  <c r="P24" i="21"/>
  <c r="M33" i="21"/>
  <c r="L33" i="21"/>
  <c r="K33" i="21"/>
  <c r="J33" i="21"/>
  <c r="I33" i="21"/>
  <c r="M32" i="21"/>
  <c r="L32" i="21"/>
  <c r="K32" i="21"/>
  <c r="J32" i="21"/>
  <c r="I32" i="21"/>
  <c r="M31" i="21"/>
  <c r="L31" i="21"/>
  <c r="K31" i="21"/>
  <c r="J31" i="21"/>
  <c r="I31" i="21"/>
  <c r="M30" i="21"/>
  <c r="L30" i="21"/>
  <c r="K30" i="21"/>
  <c r="J30" i="21"/>
  <c r="I30" i="21"/>
  <c r="M29" i="21"/>
  <c r="L29" i="21"/>
  <c r="K29" i="21"/>
  <c r="J29" i="21"/>
  <c r="I29" i="21"/>
  <c r="M28" i="21"/>
  <c r="L28" i="21"/>
  <c r="K28" i="21"/>
  <c r="J28" i="21"/>
  <c r="I28" i="21"/>
  <c r="M27" i="21"/>
  <c r="L27" i="21"/>
  <c r="K27" i="21"/>
  <c r="J27" i="21"/>
  <c r="I27" i="21"/>
  <c r="M26" i="21"/>
  <c r="L26" i="21"/>
  <c r="K26" i="21"/>
  <c r="J26" i="21"/>
  <c r="I26" i="21"/>
  <c r="M25" i="21"/>
  <c r="L25" i="21"/>
  <c r="K25" i="21"/>
  <c r="J25" i="21"/>
  <c r="I25" i="21"/>
  <c r="M24" i="21"/>
  <c r="L24" i="21"/>
  <c r="K24" i="21"/>
  <c r="J24" i="21"/>
  <c r="I24" i="21"/>
  <c r="N33" i="21" l="1"/>
  <c r="N32" i="21"/>
  <c r="N31" i="21"/>
  <c r="N30" i="21"/>
  <c r="N29" i="21"/>
  <c r="N28" i="21"/>
  <c r="N27" i="21"/>
  <c r="N26" i="21"/>
  <c r="N25" i="21"/>
  <c r="N24" i="21"/>
  <c r="Q10" i="21"/>
  <c r="R10" i="21"/>
  <c r="S10" i="21"/>
  <c r="P11" i="21"/>
  <c r="Q11" i="21"/>
  <c r="R11" i="21"/>
  <c r="S11" i="21"/>
  <c r="Q17" i="21"/>
  <c r="R17" i="21"/>
  <c r="S17" i="21"/>
  <c r="P18" i="21"/>
  <c r="Q18" i="21"/>
  <c r="R18" i="21"/>
  <c r="S18" i="21"/>
  <c r="S9" i="21"/>
  <c r="R9" i="21"/>
  <c r="Q9" i="21"/>
  <c r="P9" i="21"/>
  <c r="N10" i="21"/>
  <c r="N11" i="21"/>
  <c r="N12" i="21"/>
  <c r="N13" i="21"/>
  <c r="N14" i="21"/>
  <c r="N15" i="21"/>
  <c r="N16" i="21"/>
  <c r="N17" i="21"/>
  <c r="N18" i="21"/>
  <c r="N9" i="21"/>
  <c r="J10" i="21"/>
  <c r="L10" i="21"/>
  <c r="M10" i="21"/>
  <c r="J11" i="21"/>
  <c r="L11" i="21"/>
  <c r="M11" i="21"/>
  <c r="J12" i="21"/>
  <c r="L12" i="21"/>
  <c r="M12" i="21"/>
  <c r="J13" i="21"/>
  <c r="L13" i="21"/>
  <c r="M13" i="21"/>
  <c r="J14" i="21"/>
  <c r="L14" i="21"/>
  <c r="M14" i="21"/>
  <c r="J15" i="21"/>
  <c r="L15" i="21"/>
  <c r="M15" i="21"/>
  <c r="J16" i="21"/>
  <c r="L16" i="21"/>
  <c r="M16" i="21"/>
  <c r="J17" i="21"/>
  <c r="L17" i="21"/>
  <c r="M17" i="21"/>
  <c r="J18" i="21"/>
  <c r="L18" i="21"/>
  <c r="M18" i="21"/>
  <c r="I10" i="21"/>
  <c r="I11" i="21"/>
  <c r="I12" i="21"/>
  <c r="I13" i="21"/>
  <c r="I14" i="21"/>
  <c r="I15" i="21"/>
  <c r="I16" i="21"/>
  <c r="I17" i="21"/>
  <c r="I18" i="21"/>
  <c r="I9" i="21"/>
  <c r="J9" i="21"/>
  <c r="L9" i="21"/>
  <c r="M9" i="21"/>
  <c r="BX9" i="14" a="1"/>
  <c r="BX9" i="14" s="1"/>
  <c r="CF9" i="14" s="1"/>
  <c r="BX10" i="14" a="1"/>
  <c r="BX10" i="14" s="1"/>
  <c r="CF10" i="14" s="1"/>
  <c r="BX11" i="14" a="1"/>
  <c r="BX11" i="14" s="1"/>
  <c r="CF11" i="14" s="1"/>
  <c r="BX12" i="14" a="1"/>
  <c r="BX12" i="14" s="1"/>
  <c r="CF12" i="14" s="1"/>
  <c r="BX13" i="14" a="1"/>
  <c r="BX13" i="14" s="1"/>
  <c r="CF13" i="14" s="1"/>
  <c r="BX14" i="14" a="1"/>
  <c r="BX14" i="14" s="1"/>
  <c r="CF14" i="14" s="1"/>
  <c r="BX15" i="14" a="1"/>
  <c r="BX15" i="14" s="1"/>
  <c r="CF15" i="14" s="1"/>
  <c r="BX16" i="14" a="1"/>
  <c r="BX16" i="14" s="1"/>
  <c r="CF16" i="14" s="1"/>
  <c r="BX17" i="14" a="1"/>
  <c r="BX17" i="14" s="1"/>
  <c r="CF17" i="14" s="1"/>
  <c r="BX18" i="14" a="1"/>
  <c r="BX18" i="14" s="1"/>
  <c r="CF18" i="14" s="1"/>
  <c r="BX19" i="14" a="1"/>
  <c r="BX19" i="14" s="1"/>
  <c r="CF19" i="14" s="1"/>
  <c r="BX20" i="14" a="1"/>
  <c r="BX20" i="14" s="1"/>
  <c r="CF20" i="14" s="1"/>
  <c r="BX21" i="14" a="1"/>
  <c r="BX21" i="14" s="1"/>
  <c r="CF21" i="14" s="1"/>
  <c r="BX22" i="14" a="1"/>
  <c r="BX22" i="14" s="1"/>
  <c r="CF22" i="14" s="1"/>
  <c r="BX23" i="14" a="1"/>
  <c r="BX23" i="14" s="1"/>
  <c r="CF23" i="14" s="1"/>
  <c r="BX24" i="14" a="1"/>
  <c r="BX24" i="14" s="1"/>
  <c r="CF24" i="14" s="1"/>
  <c r="BX25" i="14" a="1"/>
  <c r="BX25" i="14" s="1"/>
  <c r="CF25" i="14" s="1"/>
  <c r="BX26" i="14" a="1"/>
  <c r="BX26" i="14" s="1"/>
  <c r="CF26" i="14" s="1"/>
  <c r="BX27" i="14" a="1"/>
  <c r="BX27" i="14" s="1"/>
  <c r="CF27" i="14" s="1"/>
  <c r="BX28" i="14" a="1"/>
  <c r="BX28" i="14" s="1"/>
  <c r="CF28" i="14" s="1"/>
  <c r="BX29" i="14" a="1"/>
  <c r="BX29" i="14" s="1"/>
  <c r="CF29" i="14" s="1"/>
  <c r="BX30" i="14" a="1"/>
  <c r="BX30" i="14" s="1"/>
  <c r="CF30" i="14" s="1"/>
  <c r="BX31" i="14" a="1"/>
  <c r="BX31" i="14" s="1"/>
  <c r="CF31" i="14" s="1"/>
  <c r="BX32" i="14" a="1"/>
  <c r="BX32" i="14" s="1"/>
  <c r="CF32" i="14" s="1"/>
  <c r="BX33" i="14" a="1"/>
  <c r="BX33" i="14" s="1"/>
  <c r="BX34" i="14" a="1"/>
  <c r="BX34" i="14" s="1"/>
  <c r="CF34" i="14" s="1"/>
  <c r="BX35" i="14" a="1"/>
  <c r="BX35" i="14" s="1"/>
  <c r="CF35" i="14" s="1"/>
  <c r="BX36" i="14" a="1"/>
  <c r="BX36" i="14" s="1"/>
  <c r="CF36" i="14" s="1"/>
  <c r="BX37" i="14" a="1"/>
  <c r="BX37" i="14" s="1"/>
  <c r="CF37" i="14" s="1"/>
  <c r="BX38" i="14" a="1"/>
  <c r="BX38" i="14" s="1"/>
  <c r="CF38" i="14" s="1"/>
  <c r="BX39" i="14" a="1"/>
  <c r="BX39" i="14" s="1"/>
  <c r="CF39" i="14" s="1"/>
  <c r="BX40" i="14" a="1"/>
  <c r="BX40" i="14" s="1"/>
  <c r="CF40" i="14" s="1"/>
  <c r="BX41" i="14" a="1"/>
  <c r="BX41" i="14" s="1"/>
  <c r="BX42" i="14" a="1"/>
  <c r="BX42" i="14" s="1"/>
  <c r="CF42" i="14" s="1"/>
  <c r="BX43" i="14" a="1"/>
  <c r="BX43" i="14" s="1"/>
  <c r="BX44" i="14" a="1"/>
  <c r="BX44" i="14" s="1"/>
  <c r="CF44" i="14" s="1"/>
  <c r="BX45" i="14" a="1"/>
  <c r="BX45" i="14" s="1"/>
  <c r="CF45" i="14" s="1"/>
  <c r="BX46" i="14" a="1"/>
  <c r="BX46" i="14" s="1"/>
  <c r="CF46" i="14" s="1"/>
  <c r="BX47" i="14" a="1"/>
  <c r="BX47" i="14" s="1"/>
  <c r="CF47" i="14" s="1"/>
  <c r="BX8" i="14" a="1"/>
  <c r="BX8" i="14" s="1"/>
  <c r="Y45" i="13"/>
  <c r="Y41" i="13"/>
  <c r="Y46" i="13"/>
  <c r="Y42" i="13"/>
  <c r="Y47" i="13"/>
  <c r="Y43" i="13"/>
  <c r="Y44" i="13"/>
  <c r="CF8" i="14" l="1"/>
  <c r="BT9" i="14" a="1"/>
  <c r="BT9" i="14" s="1"/>
  <c r="CB9" i="14" s="1"/>
  <c r="BU9" i="14" a="1"/>
  <c r="BU9" i="14" s="1"/>
  <c r="CC9" i="14" s="1"/>
  <c r="BV9" i="14" a="1"/>
  <c r="BV9" i="14" s="1"/>
  <c r="CD9" i="14" s="1"/>
  <c r="BW9" i="14" a="1"/>
  <c r="BW9" i="14" s="1"/>
  <c r="CE9" i="14" s="1"/>
  <c r="BT10" i="14" a="1"/>
  <c r="BT10" i="14" s="1"/>
  <c r="CB10" i="14" s="1"/>
  <c r="BU10" i="14" a="1"/>
  <c r="BU10" i="14" s="1"/>
  <c r="CC10" i="14" s="1"/>
  <c r="BV10" i="14" a="1"/>
  <c r="BV10" i="14" s="1"/>
  <c r="CD10" i="14" s="1"/>
  <c r="BW10" i="14" a="1"/>
  <c r="BW10" i="14" s="1"/>
  <c r="CE10" i="14" s="1"/>
  <c r="BT11" i="14" a="1"/>
  <c r="BT11" i="14" s="1"/>
  <c r="CB11" i="14" s="1"/>
  <c r="BU11" i="14" a="1"/>
  <c r="BU11" i="14" s="1"/>
  <c r="CC11" i="14" s="1"/>
  <c r="BV11" i="14" a="1"/>
  <c r="BV11" i="14" s="1"/>
  <c r="CD11" i="14" s="1"/>
  <c r="BW11" i="14" a="1"/>
  <c r="BW11" i="14" s="1"/>
  <c r="CE11" i="14" s="1"/>
  <c r="BT12" i="14" a="1"/>
  <c r="BT12" i="14" s="1"/>
  <c r="CB12" i="14" s="1"/>
  <c r="BU12" i="14" a="1"/>
  <c r="BU12" i="14" s="1"/>
  <c r="CC12" i="14" s="1"/>
  <c r="BV12" i="14" a="1"/>
  <c r="BV12" i="14" s="1"/>
  <c r="CD12" i="14" s="1"/>
  <c r="BW12" i="14" a="1"/>
  <c r="BW12" i="14" s="1"/>
  <c r="CE12" i="14" s="1"/>
  <c r="BT13" i="14" a="1"/>
  <c r="BT13" i="14" s="1"/>
  <c r="CB13" i="14" s="1"/>
  <c r="BU13" i="14" a="1"/>
  <c r="BU13" i="14" s="1"/>
  <c r="CC13" i="14" s="1"/>
  <c r="BV13" i="14" a="1"/>
  <c r="BV13" i="14" s="1"/>
  <c r="CD13" i="14" s="1"/>
  <c r="BW13" i="14" a="1"/>
  <c r="BW13" i="14" s="1"/>
  <c r="CE13" i="14" s="1"/>
  <c r="BT14" i="14" a="1"/>
  <c r="BT14" i="14" s="1"/>
  <c r="CB14" i="14" s="1"/>
  <c r="BU14" i="14" a="1"/>
  <c r="BU14" i="14" s="1"/>
  <c r="CC14" i="14" s="1"/>
  <c r="BV14" i="14" a="1"/>
  <c r="BV14" i="14" s="1"/>
  <c r="CD14" i="14" s="1"/>
  <c r="BW14" i="14" a="1"/>
  <c r="BW14" i="14" s="1"/>
  <c r="CE14" i="14" s="1"/>
  <c r="BT15" i="14" a="1"/>
  <c r="BT15" i="14" s="1"/>
  <c r="CB15" i="14" s="1"/>
  <c r="BU15" i="14" a="1"/>
  <c r="BU15" i="14" s="1"/>
  <c r="CC15" i="14" s="1"/>
  <c r="BV15" i="14" a="1"/>
  <c r="BV15" i="14" s="1"/>
  <c r="CD15" i="14" s="1"/>
  <c r="BW15" i="14" a="1"/>
  <c r="BW15" i="14" s="1"/>
  <c r="CE15" i="14" s="1"/>
  <c r="BT16" i="14" a="1"/>
  <c r="BT16" i="14" s="1"/>
  <c r="CB16" i="14" s="1"/>
  <c r="BU16" i="14" a="1"/>
  <c r="BU16" i="14" s="1"/>
  <c r="CC16" i="14" s="1"/>
  <c r="BV16" i="14" a="1"/>
  <c r="BV16" i="14" s="1"/>
  <c r="CD16" i="14" s="1"/>
  <c r="BW16" i="14" a="1"/>
  <c r="BW16" i="14" s="1"/>
  <c r="CE16" i="14" s="1"/>
  <c r="BT17" i="14" a="1"/>
  <c r="BT17" i="14" s="1"/>
  <c r="BU17" i="14" a="1"/>
  <c r="BU17" i="14" s="1"/>
  <c r="CC17" i="14" s="1"/>
  <c r="BV17" i="14" a="1"/>
  <c r="BV17" i="14" s="1"/>
  <c r="CD17" i="14" s="1"/>
  <c r="BW17" i="14" a="1"/>
  <c r="BW17" i="14" s="1"/>
  <c r="CE17" i="14" s="1"/>
  <c r="BT18" i="14" a="1"/>
  <c r="BT18" i="14" s="1"/>
  <c r="BU18" i="14" a="1"/>
  <c r="BU18" i="14" s="1"/>
  <c r="BV18" i="14" a="1"/>
  <c r="BV18" i="14" s="1"/>
  <c r="BW18" i="14" a="1"/>
  <c r="BW18" i="14" s="1"/>
  <c r="BT19" i="14" a="1"/>
  <c r="BT19" i="14" s="1"/>
  <c r="BU19" i="14" a="1"/>
  <c r="BU19" i="14" s="1"/>
  <c r="BV19" i="14" a="1"/>
  <c r="BV19" i="14" s="1"/>
  <c r="BW19" i="14" a="1"/>
  <c r="BW19" i="14" s="1"/>
  <c r="CE19" i="14" s="1"/>
  <c r="BT20" i="14" a="1"/>
  <c r="BT20" i="14" s="1"/>
  <c r="CB20" i="14" s="1"/>
  <c r="BU20" i="14" a="1"/>
  <c r="BU20" i="14" s="1"/>
  <c r="CC20" i="14" s="1"/>
  <c r="BV20" i="14" a="1"/>
  <c r="BV20" i="14" s="1"/>
  <c r="CD20" i="14" s="1"/>
  <c r="BW20" i="14" a="1"/>
  <c r="BW20" i="14" s="1"/>
  <c r="CE20" i="14" s="1"/>
  <c r="BT21" i="14" a="1"/>
  <c r="BT21" i="14" s="1"/>
  <c r="BU21" i="14" a="1"/>
  <c r="BU21" i="14" s="1"/>
  <c r="CC21" i="14" s="1"/>
  <c r="BV21" i="14" a="1"/>
  <c r="BV21" i="14" s="1"/>
  <c r="CD21" i="14" s="1"/>
  <c r="BW21" i="14" a="1"/>
  <c r="BW21" i="14" s="1"/>
  <c r="CE21" i="14" s="1"/>
  <c r="BT22" i="14" a="1"/>
  <c r="BT22" i="14" s="1"/>
  <c r="CB22" i="14" s="1"/>
  <c r="BU22" i="14" a="1"/>
  <c r="BU22" i="14" s="1"/>
  <c r="CC22" i="14" s="1"/>
  <c r="BV22" i="14" a="1"/>
  <c r="BV22" i="14" s="1"/>
  <c r="CD22" i="14" s="1"/>
  <c r="BW22" i="14" a="1"/>
  <c r="BW22" i="14" s="1"/>
  <c r="CE22" i="14" s="1"/>
  <c r="BT23" i="14" a="1"/>
  <c r="BT23" i="14" s="1"/>
  <c r="CB23" i="14" s="1"/>
  <c r="BU23" i="14" a="1"/>
  <c r="BU23" i="14" s="1"/>
  <c r="CC23" i="14" s="1"/>
  <c r="BV23" i="14" a="1"/>
  <c r="BV23" i="14" s="1"/>
  <c r="CD23" i="14" s="1"/>
  <c r="BW23" i="14" a="1"/>
  <c r="BW23" i="14" s="1"/>
  <c r="CE23" i="14" s="1"/>
  <c r="BT24" i="14" a="1"/>
  <c r="BT24" i="14" s="1"/>
  <c r="CB24" i="14" s="1"/>
  <c r="BU24" i="14" a="1"/>
  <c r="BU24" i="14" s="1"/>
  <c r="CC24" i="14" s="1"/>
  <c r="BV24" i="14" a="1"/>
  <c r="BV24" i="14" s="1"/>
  <c r="CD24" i="14" s="1"/>
  <c r="BW24" i="14" a="1"/>
  <c r="BW24" i="14" s="1"/>
  <c r="CE24" i="14" s="1"/>
  <c r="BT25" i="14" a="1"/>
  <c r="BT25" i="14" s="1"/>
  <c r="CB25" i="14" s="1"/>
  <c r="BU25" i="14" a="1"/>
  <c r="BU25" i="14" s="1"/>
  <c r="CC25" i="14" s="1"/>
  <c r="BV25" i="14" a="1"/>
  <c r="BV25" i="14" s="1"/>
  <c r="CD25" i="14" s="1"/>
  <c r="BW25" i="14" a="1"/>
  <c r="BW25" i="14" s="1"/>
  <c r="CE25" i="14" s="1"/>
  <c r="BT26" i="14" a="1"/>
  <c r="BT26" i="14" s="1"/>
  <c r="CB26" i="14" s="1"/>
  <c r="BU26" i="14" a="1"/>
  <c r="BU26" i="14" s="1"/>
  <c r="CC26" i="14" s="1"/>
  <c r="BV26" i="14" a="1"/>
  <c r="BV26" i="14" s="1"/>
  <c r="CD26" i="14" s="1"/>
  <c r="BW26" i="14" a="1"/>
  <c r="BW26" i="14" s="1"/>
  <c r="CE26" i="14" s="1"/>
  <c r="BT27" i="14" a="1"/>
  <c r="BT27" i="14" s="1"/>
  <c r="CB27" i="14" s="1"/>
  <c r="BU27" i="14" a="1"/>
  <c r="BU27" i="14" s="1"/>
  <c r="CC27" i="14" s="1"/>
  <c r="BV27" i="14" a="1"/>
  <c r="BV27" i="14" s="1"/>
  <c r="CD27" i="14" s="1"/>
  <c r="BW27" i="14" a="1"/>
  <c r="BW27" i="14" s="1"/>
  <c r="CE27" i="14" s="1"/>
  <c r="BT28" i="14" a="1"/>
  <c r="BT28" i="14" s="1"/>
  <c r="CB28" i="14" s="1"/>
  <c r="BU28" i="14" a="1"/>
  <c r="BU28" i="14" s="1"/>
  <c r="CC28" i="14" s="1"/>
  <c r="BV28" i="14" a="1"/>
  <c r="BV28" i="14" s="1"/>
  <c r="CD28" i="14" s="1"/>
  <c r="BW28" i="14" a="1"/>
  <c r="BW28" i="14" s="1"/>
  <c r="CE28" i="14" s="1"/>
  <c r="BT29" i="14" a="1"/>
  <c r="BT29" i="14" s="1"/>
  <c r="CB29" i="14" s="1"/>
  <c r="BU29" i="14" a="1"/>
  <c r="BU29" i="14" s="1"/>
  <c r="CC29" i="14" s="1"/>
  <c r="BV29" i="14" a="1"/>
  <c r="BV29" i="14" s="1"/>
  <c r="CD29" i="14" s="1"/>
  <c r="BW29" i="14" a="1"/>
  <c r="BW29" i="14" s="1"/>
  <c r="CE29" i="14" s="1"/>
  <c r="BT30" i="14" a="1"/>
  <c r="BT30" i="14" s="1"/>
  <c r="CB30" i="14" s="1"/>
  <c r="BU30" i="14" a="1"/>
  <c r="BU30" i="14" s="1"/>
  <c r="CC30" i="14" s="1"/>
  <c r="BV30" i="14" a="1"/>
  <c r="BV30" i="14" s="1"/>
  <c r="CD30" i="14" s="1"/>
  <c r="BW30" i="14" a="1"/>
  <c r="BW30" i="14" s="1"/>
  <c r="CE30" i="14" s="1"/>
  <c r="BT31" i="14" a="1"/>
  <c r="BT31" i="14" s="1"/>
  <c r="BU31" i="14" a="1"/>
  <c r="BU31" i="14" s="1"/>
  <c r="BV31" i="14" a="1"/>
  <c r="BV31" i="14" s="1"/>
  <c r="BW31" i="14" a="1"/>
  <c r="BW31" i="14" s="1"/>
  <c r="CE31" i="14" s="1"/>
  <c r="BT32" i="14" a="1"/>
  <c r="BT32" i="14" s="1"/>
  <c r="CB32" i="14" s="1"/>
  <c r="BU32" i="14" a="1"/>
  <c r="BU32" i="14" s="1"/>
  <c r="CC32" i="14" s="1"/>
  <c r="BV32" i="14" a="1"/>
  <c r="BV32" i="14" s="1"/>
  <c r="CD32" i="14" s="1"/>
  <c r="BW32" i="14" a="1"/>
  <c r="BW32" i="14" s="1"/>
  <c r="CE32" i="14" s="1"/>
  <c r="BT33" i="14" a="1"/>
  <c r="BT33" i="14" s="1"/>
  <c r="CB33" i="14" s="1"/>
  <c r="BU33" i="14" a="1"/>
  <c r="BU33" i="14" s="1"/>
  <c r="CC33" i="14" s="1"/>
  <c r="BV33" i="14" a="1"/>
  <c r="BV33" i="14" s="1"/>
  <c r="CD33" i="14" s="1"/>
  <c r="BW33" i="14" a="1"/>
  <c r="BW33" i="14" s="1"/>
  <c r="CE33" i="14" s="1"/>
  <c r="BT34" i="14" a="1"/>
  <c r="BT34" i="14" s="1"/>
  <c r="CB34" i="14" s="1"/>
  <c r="BU34" i="14" a="1"/>
  <c r="BU34" i="14" s="1"/>
  <c r="CC34" i="14" s="1"/>
  <c r="BV34" i="14" a="1"/>
  <c r="BV34" i="14" s="1"/>
  <c r="CD34" i="14" s="1"/>
  <c r="BW34" i="14" a="1"/>
  <c r="BW34" i="14" s="1"/>
  <c r="CE34" i="14" s="1"/>
  <c r="BT35" i="14" a="1"/>
  <c r="BT35" i="14" s="1"/>
  <c r="CB35" i="14" s="1"/>
  <c r="BU35" i="14" a="1"/>
  <c r="BU35" i="14" s="1"/>
  <c r="CC35" i="14" s="1"/>
  <c r="BV35" i="14" a="1"/>
  <c r="BV35" i="14" s="1"/>
  <c r="CD35" i="14" s="1"/>
  <c r="BW35" i="14" a="1"/>
  <c r="BW35" i="14" s="1"/>
  <c r="CE35" i="14" s="1"/>
  <c r="BT36" i="14" a="1"/>
  <c r="BT36" i="14" s="1"/>
  <c r="CB36" i="14" s="1"/>
  <c r="BU36" i="14" a="1"/>
  <c r="BU36" i="14" s="1"/>
  <c r="CC36" i="14" s="1"/>
  <c r="BV36" i="14" a="1"/>
  <c r="BV36" i="14" s="1"/>
  <c r="CD36" i="14" s="1"/>
  <c r="BW36" i="14" a="1"/>
  <c r="BW36" i="14" s="1"/>
  <c r="CE36" i="14" s="1"/>
  <c r="BT37" i="14" a="1"/>
  <c r="BT37" i="14" s="1"/>
  <c r="CB37" i="14" s="1"/>
  <c r="BU37" i="14" a="1"/>
  <c r="BU37" i="14" s="1"/>
  <c r="CC37" i="14" s="1"/>
  <c r="BV37" i="14" a="1"/>
  <c r="BV37" i="14" s="1"/>
  <c r="CD37" i="14" s="1"/>
  <c r="BW37" i="14" a="1"/>
  <c r="BW37" i="14" s="1"/>
  <c r="CE37" i="14" s="1"/>
  <c r="BT38" i="14" a="1"/>
  <c r="BT38" i="14" s="1"/>
  <c r="CB38" i="14" s="1"/>
  <c r="BU38" i="14" a="1"/>
  <c r="BU38" i="14" s="1"/>
  <c r="CC38" i="14" s="1"/>
  <c r="BV38" i="14" a="1"/>
  <c r="BV38" i="14" s="1"/>
  <c r="CD38" i="14" s="1"/>
  <c r="BW38" i="14" a="1"/>
  <c r="BW38" i="14" s="1"/>
  <c r="CE38" i="14" s="1"/>
  <c r="BT39" i="14" a="1"/>
  <c r="BT39" i="14" s="1"/>
  <c r="CB39" i="14" s="1"/>
  <c r="BU39" i="14" a="1"/>
  <c r="BU39" i="14" s="1"/>
  <c r="CC39" i="14" s="1"/>
  <c r="BV39" i="14" a="1"/>
  <c r="BV39" i="14" s="1"/>
  <c r="CD39" i="14" s="1"/>
  <c r="BW39" i="14" a="1"/>
  <c r="BW39" i="14" s="1"/>
  <c r="CE39" i="14" s="1"/>
  <c r="BT40" i="14" a="1"/>
  <c r="BT40" i="14" s="1"/>
  <c r="BU40" i="14" a="1"/>
  <c r="BU40" i="14" s="1"/>
  <c r="BV40" i="14" a="1"/>
  <c r="BV40" i="14" s="1"/>
  <c r="BW40" i="14" a="1"/>
  <c r="BW40" i="14" s="1"/>
  <c r="BT41" i="14" a="1"/>
  <c r="BT41" i="14" s="1"/>
  <c r="CB41" i="14" s="1"/>
  <c r="BU41" i="14" a="1"/>
  <c r="BU41" i="14" s="1"/>
  <c r="CC41" i="14" s="1"/>
  <c r="BV41" i="14" a="1"/>
  <c r="BV41" i="14" s="1"/>
  <c r="CD41" i="14" s="1"/>
  <c r="BW41" i="14" a="1"/>
  <c r="BW41" i="14" s="1"/>
  <c r="CE41" i="14" s="1"/>
  <c r="BT42" i="14" a="1"/>
  <c r="BT42" i="14" s="1"/>
  <c r="CB42" i="14" s="1"/>
  <c r="BU42" i="14" a="1"/>
  <c r="BU42" i="14" s="1"/>
  <c r="CC42" i="14" s="1"/>
  <c r="BV42" i="14" a="1"/>
  <c r="BV42" i="14" s="1"/>
  <c r="CD42" i="14" s="1"/>
  <c r="BW42" i="14" a="1"/>
  <c r="BW42" i="14" s="1"/>
  <c r="CE42" i="14" s="1"/>
  <c r="BT43" i="14" a="1"/>
  <c r="BT43" i="14" s="1"/>
  <c r="CB43" i="14" s="1"/>
  <c r="BU43" i="14" a="1"/>
  <c r="BU43" i="14" s="1"/>
  <c r="CC43" i="14" s="1"/>
  <c r="BV43" i="14" a="1"/>
  <c r="BV43" i="14" s="1"/>
  <c r="CD43" i="14" s="1"/>
  <c r="BW43" i="14" a="1"/>
  <c r="BW43" i="14" s="1"/>
  <c r="CE43" i="14" s="1"/>
  <c r="BT44" i="14" a="1"/>
  <c r="BT44" i="14" s="1"/>
  <c r="CB44" i="14" s="1"/>
  <c r="BU44" i="14" a="1"/>
  <c r="BU44" i="14" s="1"/>
  <c r="CC44" i="14" s="1"/>
  <c r="BV44" i="14" a="1"/>
  <c r="BV44" i="14" s="1"/>
  <c r="CD44" i="14" s="1"/>
  <c r="BW44" i="14" a="1"/>
  <c r="BW44" i="14" s="1"/>
  <c r="CE44" i="14" s="1"/>
  <c r="BT45" i="14" a="1"/>
  <c r="BT45" i="14" s="1"/>
  <c r="CB45" i="14" s="1"/>
  <c r="BU45" i="14" a="1"/>
  <c r="BU45" i="14" s="1"/>
  <c r="CC45" i="14" s="1"/>
  <c r="BV45" i="14" a="1"/>
  <c r="BV45" i="14" s="1"/>
  <c r="CD45" i="14" s="1"/>
  <c r="BW45" i="14" a="1"/>
  <c r="BW45" i="14" s="1"/>
  <c r="CE45" i="14" s="1"/>
  <c r="BT46" i="14" a="1"/>
  <c r="BT46" i="14" s="1"/>
  <c r="CB46" i="14" s="1"/>
  <c r="BU46" i="14" a="1"/>
  <c r="BU46" i="14" s="1"/>
  <c r="CC46" i="14" s="1"/>
  <c r="BV46" i="14" a="1"/>
  <c r="BV46" i="14" s="1"/>
  <c r="CD46" i="14" s="1"/>
  <c r="BW46" i="14" a="1"/>
  <c r="BW46" i="14" s="1"/>
  <c r="CE46" i="14" s="1"/>
  <c r="BT47" i="14" a="1"/>
  <c r="BT47" i="14" s="1"/>
  <c r="BU47" i="14" a="1"/>
  <c r="BU47" i="14" s="1"/>
  <c r="CC47" i="14" s="1"/>
  <c r="BV47" i="14" a="1"/>
  <c r="BV47" i="14" s="1"/>
  <c r="CD47" i="14" s="1"/>
  <c r="BW47" i="14" a="1"/>
  <c r="BW47" i="14" s="1"/>
  <c r="CE47" i="14" s="1"/>
  <c r="BW8" i="14" a="1"/>
  <c r="BW8" i="14" s="1"/>
  <c r="BV8" i="14" a="1"/>
  <c r="BV8" i="14" s="1"/>
  <c r="CD8" i="14" s="1"/>
  <c r="BU8" i="14" a="1"/>
  <c r="BU8" i="14" s="1"/>
  <c r="CC8" i="14" s="1"/>
  <c r="BT8" i="14" a="1"/>
  <c r="BT8" i="14" s="1"/>
  <c r="CB8" i="14" s="1"/>
  <c r="G9" i="14"/>
  <c r="H9" i="14"/>
  <c r="I9" i="14"/>
  <c r="K9" i="14"/>
  <c r="G10" i="14"/>
  <c r="H10" i="14"/>
  <c r="I10" i="14"/>
  <c r="J10" i="14"/>
  <c r="K10" i="14"/>
  <c r="G11" i="14"/>
  <c r="H11" i="14"/>
  <c r="I11" i="14"/>
  <c r="J11" i="14"/>
  <c r="K11" i="14"/>
  <c r="G12" i="14"/>
  <c r="H12" i="14"/>
  <c r="I12" i="14"/>
  <c r="J12" i="14"/>
  <c r="K12" i="14"/>
  <c r="G13" i="14"/>
  <c r="H13" i="14"/>
  <c r="I13" i="14"/>
  <c r="J13" i="14"/>
  <c r="K13" i="14"/>
  <c r="G14" i="14"/>
  <c r="H14" i="14"/>
  <c r="I14" i="14"/>
  <c r="J14" i="14"/>
  <c r="K14" i="14"/>
  <c r="G15" i="14"/>
  <c r="H15" i="14"/>
  <c r="I15" i="14"/>
  <c r="J15" i="14"/>
  <c r="K15" i="14"/>
  <c r="G16" i="14"/>
  <c r="H16" i="14"/>
  <c r="I16" i="14"/>
  <c r="J16" i="14"/>
  <c r="K16" i="14"/>
  <c r="G17" i="14"/>
  <c r="H17" i="14"/>
  <c r="I17" i="14"/>
  <c r="J17" i="14"/>
  <c r="K17" i="14"/>
  <c r="G18" i="14"/>
  <c r="H18" i="14"/>
  <c r="I18" i="14"/>
  <c r="K18" i="14"/>
  <c r="G19" i="14"/>
  <c r="H19" i="14"/>
  <c r="I19" i="14"/>
  <c r="J19" i="14"/>
  <c r="K19" i="14"/>
  <c r="G20" i="14"/>
  <c r="H20" i="14"/>
  <c r="I20" i="14"/>
  <c r="J20" i="14"/>
  <c r="K20" i="14"/>
  <c r="G21" i="14"/>
  <c r="H21" i="14"/>
  <c r="I21" i="14"/>
  <c r="J21" i="14"/>
  <c r="K21" i="14"/>
  <c r="G22" i="14"/>
  <c r="H22" i="14"/>
  <c r="I22" i="14"/>
  <c r="J22" i="14"/>
  <c r="K22" i="14"/>
  <c r="G23" i="14"/>
  <c r="H23" i="14"/>
  <c r="I23" i="14"/>
  <c r="J23" i="14"/>
  <c r="K23" i="14"/>
  <c r="G24" i="14"/>
  <c r="H24" i="14"/>
  <c r="I24" i="14"/>
  <c r="J24" i="14"/>
  <c r="K24" i="14"/>
  <c r="G25" i="14"/>
  <c r="H25" i="14"/>
  <c r="I25" i="14"/>
  <c r="J25" i="14"/>
  <c r="K25" i="14"/>
  <c r="G26" i="14"/>
  <c r="H26" i="14"/>
  <c r="I26" i="14"/>
  <c r="J26" i="14"/>
  <c r="K26" i="14"/>
  <c r="G27" i="14"/>
  <c r="H27" i="14"/>
  <c r="I27" i="14"/>
  <c r="J27" i="14"/>
  <c r="K27" i="14"/>
  <c r="G28" i="14"/>
  <c r="H28" i="14"/>
  <c r="I28" i="14"/>
  <c r="J28" i="14"/>
  <c r="K28" i="14"/>
  <c r="G29" i="14"/>
  <c r="H29" i="14"/>
  <c r="I29" i="14"/>
  <c r="J29" i="14"/>
  <c r="K29" i="14"/>
  <c r="G30" i="14"/>
  <c r="H30" i="14"/>
  <c r="I30" i="14"/>
  <c r="J30" i="14"/>
  <c r="K30" i="14"/>
  <c r="G31" i="14"/>
  <c r="H31" i="14"/>
  <c r="I31" i="14"/>
  <c r="J31" i="14"/>
  <c r="K31" i="14"/>
  <c r="G32" i="14"/>
  <c r="H32" i="14"/>
  <c r="I32" i="14"/>
  <c r="J32" i="14"/>
  <c r="K32" i="14"/>
  <c r="G33" i="14"/>
  <c r="H33" i="14"/>
  <c r="I33" i="14"/>
  <c r="J33" i="14"/>
  <c r="K33" i="14"/>
  <c r="G34" i="14"/>
  <c r="H34" i="14"/>
  <c r="I34" i="14"/>
  <c r="J34" i="14"/>
  <c r="K34" i="14"/>
  <c r="G35" i="14"/>
  <c r="H35" i="14"/>
  <c r="I35" i="14"/>
  <c r="J35" i="14"/>
  <c r="K35" i="14"/>
  <c r="G36" i="14"/>
  <c r="H36" i="14"/>
  <c r="I36" i="14"/>
  <c r="J36" i="14"/>
  <c r="K36" i="14"/>
  <c r="G37" i="14"/>
  <c r="H37" i="14"/>
  <c r="I37" i="14"/>
  <c r="J37" i="14"/>
  <c r="K37" i="14"/>
  <c r="G38" i="14"/>
  <c r="H38" i="14"/>
  <c r="I38" i="14"/>
  <c r="J38" i="14"/>
  <c r="K38" i="14"/>
  <c r="G39" i="14"/>
  <c r="H39" i="14"/>
  <c r="I39" i="14"/>
  <c r="J39" i="14"/>
  <c r="K39" i="14"/>
  <c r="G40" i="14"/>
  <c r="H40" i="14"/>
  <c r="I40" i="14"/>
  <c r="J40" i="14"/>
  <c r="K40" i="14"/>
  <c r="G41" i="14"/>
  <c r="H41" i="14"/>
  <c r="I41" i="14"/>
  <c r="J41" i="14"/>
  <c r="K41" i="14"/>
  <c r="G42" i="14"/>
  <c r="H42" i="14"/>
  <c r="I42" i="14"/>
  <c r="J42" i="14"/>
  <c r="K42" i="14"/>
  <c r="G43" i="14"/>
  <c r="H43" i="14"/>
  <c r="I43" i="14"/>
  <c r="J43" i="14"/>
  <c r="K43" i="14"/>
  <c r="G44" i="14"/>
  <c r="H44" i="14"/>
  <c r="I44" i="14"/>
  <c r="J44" i="14"/>
  <c r="K44" i="14"/>
  <c r="G45" i="14"/>
  <c r="H45" i="14"/>
  <c r="I45" i="14"/>
  <c r="J45" i="14"/>
  <c r="K45" i="14"/>
  <c r="G46" i="14"/>
  <c r="H46" i="14"/>
  <c r="I46" i="14"/>
  <c r="J46" i="14"/>
  <c r="K46" i="14"/>
  <c r="G47" i="14"/>
  <c r="H47" i="14"/>
  <c r="I47" i="14"/>
  <c r="J47" i="14"/>
  <c r="K47" i="14"/>
  <c r="K8" i="14"/>
  <c r="J8" i="14"/>
  <c r="I8" i="14"/>
  <c r="H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8" i="14"/>
  <c r="G8" i="14"/>
  <c r="J9" i="14"/>
  <c r="CE8" i="14" l="1"/>
  <c r="J18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M17" i="13" l="1"/>
  <c r="M12" i="13"/>
  <c r="M10" i="13"/>
  <c r="M16" i="13"/>
  <c r="M8" i="13"/>
  <c r="M11" i="13"/>
  <c r="M9" i="13"/>
  <c r="M14" i="13"/>
  <c r="CB17" i="14" s="1"/>
  <c r="M15" i="13"/>
  <c r="M13" i="13"/>
  <c r="M19" i="13"/>
  <c r="CB31" i="14" s="1"/>
  <c r="M20" i="13"/>
  <c r="M23" i="13"/>
  <c r="M24" i="13"/>
  <c r="M18" i="13"/>
  <c r="CB21" i="14" s="1"/>
  <c r="M25" i="13"/>
  <c r="M21" i="13"/>
  <c r="M26" i="13"/>
  <c r="M38" i="13"/>
  <c r="M28" i="13"/>
  <c r="M45" i="13"/>
  <c r="M29" i="13"/>
  <c r="M39" i="13"/>
  <c r="M33" i="13"/>
  <c r="M49" i="13"/>
  <c r="M47" i="13"/>
  <c r="CF43" i="14" s="1"/>
  <c r="M41" i="13"/>
  <c r="M36" i="13"/>
  <c r="M31" i="13"/>
  <c r="M37" i="13"/>
  <c r="M22" i="13"/>
  <c r="M42" i="13"/>
  <c r="CF41" i="14" s="1"/>
  <c r="M48" i="13"/>
  <c r="CG41" i="14" s="1"/>
  <c r="M30" i="13"/>
  <c r="M27" i="13"/>
  <c r="M32" i="13"/>
  <c r="F70" i="17" s="1"/>
  <c r="M50" i="13"/>
  <c r="M46" i="13"/>
  <c r="M43" i="13"/>
  <c r="M44" i="13"/>
  <c r="CH41" i="14" s="1"/>
  <c r="M40" i="13"/>
  <c r="M34" i="13"/>
  <c r="L3" i="13"/>
  <c r="L2" i="13"/>
  <c r="L49" i="14"/>
  <c r="M48" i="14"/>
  <c r="N48" i="14"/>
  <c r="O48" i="14"/>
  <c r="P48" i="14"/>
  <c r="Q48" i="14"/>
  <c r="R48" i="14"/>
  <c r="S48" i="14"/>
  <c r="T48" i="14"/>
  <c r="U48" i="14"/>
  <c r="V48" i="14"/>
  <c r="W48" i="14"/>
  <c r="X48" i="14"/>
  <c r="Y48" i="14"/>
  <c r="Z48" i="14"/>
  <c r="AA48" i="14"/>
  <c r="AB48" i="14"/>
  <c r="AC48" i="14"/>
  <c r="AD48" i="14"/>
  <c r="AE48" i="14"/>
  <c r="AF48" i="14"/>
  <c r="AG48" i="14"/>
  <c r="AH48" i="14"/>
  <c r="AI48" i="14"/>
  <c r="AJ48" i="14"/>
  <c r="AK48" i="14"/>
  <c r="AL48" i="14"/>
  <c r="AM48" i="14"/>
  <c r="AN48" i="14"/>
  <c r="AO48" i="14"/>
  <c r="AP48" i="14"/>
  <c r="AQ48" i="14"/>
  <c r="AR48" i="14"/>
  <c r="AS48" i="14"/>
  <c r="AT48" i="14"/>
  <c r="AU48" i="14"/>
  <c r="AV48" i="14"/>
  <c r="AW48" i="14"/>
  <c r="AX48" i="14"/>
  <c r="AY48" i="14"/>
  <c r="AZ48" i="14"/>
  <c r="BA48" i="14"/>
  <c r="BB48" i="14"/>
  <c r="BC48" i="14"/>
  <c r="BD48" i="14"/>
  <c r="BE48" i="14"/>
  <c r="BF48" i="14"/>
  <c r="BG48" i="14"/>
  <c r="BH48" i="14"/>
  <c r="BI48" i="14"/>
  <c r="M49" i="14"/>
  <c r="N49" i="14"/>
  <c r="O49" i="14"/>
  <c r="P49" i="14"/>
  <c r="Q49" i="14"/>
  <c r="R49" i="14"/>
  <c r="S49" i="14"/>
  <c r="T49" i="14"/>
  <c r="U49" i="14"/>
  <c r="V49" i="14"/>
  <c r="W49" i="14"/>
  <c r="X49" i="14"/>
  <c r="Y49" i="14"/>
  <c r="Z49" i="14"/>
  <c r="AA49" i="14"/>
  <c r="AB49" i="14"/>
  <c r="AC49" i="14"/>
  <c r="AD49" i="14"/>
  <c r="AE49" i="14"/>
  <c r="AF49" i="14"/>
  <c r="AG49" i="14"/>
  <c r="AH49" i="14"/>
  <c r="AI49" i="14"/>
  <c r="AJ49" i="14"/>
  <c r="AK49" i="14"/>
  <c r="AL49" i="14"/>
  <c r="AM49" i="14"/>
  <c r="AN49" i="14"/>
  <c r="AO49" i="14"/>
  <c r="AP49" i="14"/>
  <c r="AQ49" i="14"/>
  <c r="AR49" i="14"/>
  <c r="AS49" i="14"/>
  <c r="AT49" i="14"/>
  <c r="AU49" i="14"/>
  <c r="AV49" i="14"/>
  <c r="AW49" i="14"/>
  <c r="AX49" i="14"/>
  <c r="AY49" i="14"/>
  <c r="AZ49" i="14"/>
  <c r="BA49" i="14"/>
  <c r="BB49" i="14"/>
  <c r="BC49" i="14"/>
  <c r="BD49" i="14"/>
  <c r="BE49" i="14"/>
  <c r="BF49" i="14"/>
  <c r="BG49" i="14"/>
  <c r="BH49" i="14"/>
  <c r="BI49" i="14"/>
  <c r="M50" i="14"/>
  <c r="N50" i="14"/>
  <c r="O50" i="14"/>
  <c r="P50" i="14"/>
  <c r="Q50" i="14"/>
  <c r="R50" i="14"/>
  <c r="S50" i="14"/>
  <c r="T50" i="14"/>
  <c r="U50" i="14"/>
  <c r="V50" i="14"/>
  <c r="W50" i="14"/>
  <c r="X50" i="14"/>
  <c r="Y50" i="14"/>
  <c r="Z50" i="14"/>
  <c r="AA50" i="14"/>
  <c r="AB50" i="14"/>
  <c r="AC50" i="14"/>
  <c r="AD50" i="14"/>
  <c r="AE50" i="14"/>
  <c r="AF50" i="14"/>
  <c r="AG50" i="14"/>
  <c r="AH50" i="14"/>
  <c r="AI50" i="14"/>
  <c r="AJ50" i="14"/>
  <c r="AK50" i="14"/>
  <c r="AL50" i="14"/>
  <c r="AM50" i="14"/>
  <c r="AN50" i="14"/>
  <c r="AO50" i="14"/>
  <c r="AP50" i="14"/>
  <c r="AQ50" i="14"/>
  <c r="AR50" i="14"/>
  <c r="AS50" i="14"/>
  <c r="AT50" i="14"/>
  <c r="AU50" i="14"/>
  <c r="AV50" i="14"/>
  <c r="AW50" i="14"/>
  <c r="AX50" i="14"/>
  <c r="AY50" i="14"/>
  <c r="AZ50" i="14"/>
  <c r="BA50" i="14"/>
  <c r="BB50" i="14"/>
  <c r="BC50" i="14"/>
  <c r="BD50" i="14"/>
  <c r="BE50" i="14"/>
  <c r="BF50" i="14"/>
  <c r="BG50" i="14"/>
  <c r="BH50" i="14"/>
  <c r="BI50" i="14"/>
  <c r="L50" i="14"/>
  <c r="L48" i="14"/>
  <c r="CD19" i="14" l="1"/>
  <c r="CD31" i="14"/>
  <c r="CC19" i="14"/>
  <c r="CC31" i="14"/>
  <c r="D64" i="17"/>
  <c r="E64" i="17" s="1"/>
  <c r="S15" i="17" s="1"/>
  <c r="C6" i="19"/>
  <c r="CF33" i="14"/>
  <c r="CB47" i="14"/>
  <c r="CB19" i="14"/>
  <c r="CD18" i="14"/>
  <c r="O17" i="21"/>
  <c r="P13" i="21"/>
  <c r="P15" i="21"/>
  <c r="O9" i="21"/>
  <c r="T9" i="21" s="1"/>
  <c r="O10" i="21"/>
  <c r="P12" i="21"/>
  <c r="P14" i="21"/>
  <c r="P16" i="21"/>
  <c r="CD40" i="14"/>
  <c r="R15" i="21"/>
  <c r="R14" i="21"/>
  <c r="R16" i="21"/>
  <c r="O11" i="21"/>
  <c r="T11" i="21" s="1"/>
  <c r="S13" i="21"/>
  <c r="S15" i="21"/>
  <c r="O18" i="21"/>
  <c r="T18" i="21" s="1"/>
  <c r="S12" i="21"/>
  <c r="S14" i="21"/>
  <c r="S16" i="21"/>
  <c r="O13" i="21"/>
  <c r="O15" i="21"/>
  <c r="O12" i="21"/>
  <c r="O14" i="21"/>
  <c r="O16" i="21"/>
  <c r="P17" i="21"/>
  <c r="Q13" i="21"/>
  <c r="Q15" i="21"/>
  <c r="P10" i="21"/>
  <c r="Q12" i="21"/>
  <c r="Q14" i="21"/>
  <c r="Q16" i="21"/>
  <c r="R13" i="21"/>
  <c r="R12" i="21"/>
  <c r="C9" i="19"/>
  <c r="C7" i="19"/>
  <c r="C8" i="19"/>
  <c r="CE40" i="14"/>
  <c r="CE18" i="14"/>
  <c r="CC40" i="14"/>
  <c r="CC18" i="14"/>
  <c r="CB40" i="14"/>
  <c r="CB18" i="14"/>
  <c r="E70" i="17"/>
  <c r="D57" i="17"/>
  <c r="E57" i="17" s="1"/>
  <c r="E9" i="15"/>
  <c r="E13" i="15"/>
  <c r="E12" i="15"/>
  <c r="E11" i="15"/>
  <c r="L4" i="13"/>
  <c r="D70" i="17"/>
  <c r="E10" i="15"/>
  <c r="F54" i="13" l="1"/>
  <c r="F56" i="13"/>
  <c r="T10" i="21"/>
  <c r="T16" i="21"/>
  <c r="T12" i="21"/>
  <c r="T14" i="21"/>
  <c r="T15" i="21"/>
  <c r="F60" i="13" s="1"/>
  <c r="T17" i="21"/>
  <c r="T13" i="21"/>
  <c r="R49" i="17"/>
  <c r="R50" i="17"/>
  <c r="R51" i="17"/>
  <c r="R48" i="17"/>
  <c r="H70" i="17"/>
  <c r="R40" i="17"/>
  <c r="BJ6" i="14"/>
  <c r="BK6" i="14"/>
  <c r="BL6" i="14"/>
  <c r="BM6" i="14"/>
  <c r="BN6" i="14"/>
  <c r="BO6" i="14"/>
  <c r="BP6" i="14"/>
  <c r="BQ6" i="14"/>
  <c r="BR6" i="14"/>
  <c r="J19" i="15"/>
  <c r="J20" i="15"/>
  <c r="J22" i="15"/>
  <c r="I20" i="15"/>
  <c r="I22" i="15"/>
  <c r="F13" i="15"/>
  <c r="F12" i="15"/>
  <c r="F11" i="15"/>
  <c r="F10" i="15"/>
  <c r="F9" i="15"/>
  <c r="BS8" i="14" a="1"/>
  <c r="BS8" i="14" s="1"/>
  <c r="BS9" i="14" a="1"/>
  <c r="BS9" i="14" s="1"/>
  <c r="CA9" i="14" s="1"/>
  <c r="CI9" i="14" s="1"/>
  <c r="BS10" i="14" a="1"/>
  <c r="BS10" i="14" s="1"/>
  <c r="CA10" i="14" s="1"/>
  <c r="CI10" i="14" s="1"/>
  <c r="BS11" i="14" a="1"/>
  <c r="BS11" i="14" s="1"/>
  <c r="CA11" i="14" s="1"/>
  <c r="CI11" i="14" s="1"/>
  <c r="BS12" i="14" a="1"/>
  <c r="BS12" i="14" s="1"/>
  <c r="CA12" i="14" s="1"/>
  <c r="CI12" i="14" s="1"/>
  <c r="BS13" i="14" a="1"/>
  <c r="BS13" i="14" s="1"/>
  <c r="CA13" i="14" s="1"/>
  <c r="CI13" i="14" s="1"/>
  <c r="BS14" i="14" a="1"/>
  <c r="BS14" i="14" s="1"/>
  <c r="CA14" i="14" s="1"/>
  <c r="CI14" i="14" s="1"/>
  <c r="BS15" i="14" a="1"/>
  <c r="BS15" i="14" s="1"/>
  <c r="CA15" i="14" s="1"/>
  <c r="CI15" i="14" s="1"/>
  <c r="BS16" i="14" a="1"/>
  <c r="BS16" i="14" s="1"/>
  <c r="CA16" i="14" s="1"/>
  <c r="CI16" i="14" s="1"/>
  <c r="BS19" i="14" a="1"/>
  <c r="BS19" i="14" s="1"/>
  <c r="CA19" i="14" s="1"/>
  <c r="CI19" i="14" s="1"/>
  <c r="BS17" i="14" a="1"/>
  <c r="BS17" i="14" s="1"/>
  <c r="CA17" i="14" s="1"/>
  <c r="CI17" i="14" s="1"/>
  <c r="BS18" i="14" a="1"/>
  <c r="BS18" i="14" s="1"/>
  <c r="CA18" i="14" s="1"/>
  <c r="CI18" i="14" s="1"/>
  <c r="BS20" i="14" a="1"/>
  <c r="BS20" i="14" s="1"/>
  <c r="CA20" i="14" s="1"/>
  <c r="CI20" i="14" s="1"/>
  <c r="BS21" i="14" a="1"/>
  <c r="BS21" i="14" s="1"/>
  <c r="CA21" i="14" s="1"/>
  <c r="CI21" i="14" s="1"/>
  <c r="BS22" i="14" a="1"/>
  <c r="BS22" i="14" s="1"/>
  <c r="CA22" i="14" s="1"/>
  <c r="CI22" i="14" s="1"/>
  <c r="BS23" i="14" a="1"/>
  <c r="BS23" i="14" s="1"/>
  <c r="CA23" i="14" s="1"/>
  <c r="CI23" i="14" s="1"/>
  <c r="BS24" i="14" a="1"/>
  <c r="BS24" i="14" s="1"/>
  <c r="CA24" i="14" s="1"/>
  <c r="CI24" i="14" s="1"/>
  <c r="BS25" i="14" a="1"/>
  <c r="BS25" i="14" s="1"/>
  <c r="CA25" i="14" s="1"/>
  <c r="CI25" i="14" s="1"/>
  <c r="BS26" i="14" a="1"/>
  <c r="BS26" i="14" s="1"/>
  <c r="CA26" i="14" s="1"/>
  <c r="CI26" i="14" s="1"/>
  <c r="BS27" i="14" a="1"/>
  <c r="BS27" i="14" s="1"/>
  <c r="CA27" i="14" s="1"/>
  <c r="CI27" i="14" s="1"/>
  <c r="BS43" i="14" a="1"/>
  <c r="BS43" i="14" s="1"/>
  <c r="CA43" i="14" s="1"/>
  <c r="CI43" i="14" s="1"/>
  <c r="BS44" i="14" a="1"/>
  <c r="BS44" i="14" s="1"/>
  <c r="CA44" i="14" s="1"/>
  <c r="CI44" i="14" s="1"/>
  <c r="BS45" i="14" a="1"/>
  <c r="BS45" i="14" s="1"/>
  <c r="CA45" i="14" s="1"/>
  <c r="CI45" i="14" s="1"/>
  <c r="BS40" i="14" a="1"/>
  <c r="BS40" i="14" s="1"/>
  <c r="CA40" i="14" s="1"/>
  <c r="CI40" i="14" s="1"/>
  <c r="BS41" i="14" a="1"/>
  <c r="BS41" i="14" s="1"/>
  <c r="CA41" i="14" s="1"/>
  <c r="CI41" i="14" s="1"/>
  <c r="BS42" i="14" a="1"/>
  <c r="BS42" i="14" s="1"/>
  <c r="CA42" i="14" s="1"/>
  <c r="CI42" i="14" s="1"/>
  <c r="BS46" i="14" a="1"/>
  <c r="BS46" i="14" s="1"/>
  <c r="CA46" i="14" s="1"/>
  <c r="CI46" i="14" s="1"/>
  <c r="BS47" i="14" a="1"/>
  <c r="BS47" i="14" s="1"/>
  <c r="CA47" i="14" s="1"/>
  <c r="CI47" i="14" s="1"/>
  <c r="BS28" i="14" a="1"/>
  <c r="BS28" i="14" s="1"/>
  <c r="CA28" i="14" s="1"/>
  <c r="CI28" i="14" s="1"/>
  <c r="BS30" i="14" a="1"/>
  <c r="BS30" i="14" s="1"/>
  <c r="CA30" i="14" s="1"/>
  <c r="CI30" i="14" s="1"/>
  <c r="BS31" i="14" a="1"/>
  <c r="BS31" i="14" s="1"/>
  <c r="CA31" i="14" s="1"/>
  <c r="CI31" i="14" s="1"/>
  <c r="BS32" i="14" a="1"/>
  <c r="BS32" i="14" s="1"/>
  <c r="CA32" i="14" s="1"/>
  <c r="CI32" i="14" s="1"/>
  <c r="BS33" i="14" a="1"/>
  <c r="BS33" i="14" s="1"/>
  <c r="CA33" i="14" s="1"/>
  <c r="CI33" i="14" s="1"/>
  <c r="BS34" i="14" a="1"/>
  <c r="BS34" i="14" s="1"/>
  <c r="CA34" i="14" s="1"/>
  <c r="CI34" i="14" s="1"/>
  <c r="BS35" i="14" a="1"/>
  <c r="BS35" i="14" s="1"/>
  <c r="CA35" i="14" s="1"/>
  <c r="CI35" i="14" s="1"/>
  <c r="BS36" i="14" a="1"/>
  <c r="BS36" i="14" s="1"/>
  <c r="CA36" i="14" s="1"/>
  <c r="CI36" i="14" s="1"/>
  <c r="BS37" i="14" a="1"/>
  <c r="BS37" i="14" s="1"/>
  <c r="CA37" i="14" s="1"/>
  <c r="CI37" i="14" s="1"/>
  <c r="BS38" i="14" a="1"/>
  <c r="BS38" i="14" s="1"/>
  <c r="CA38" i="14" s="1"/>
  <c r="CI38" i="14" s="1"/>
  <c r="BS39" i="14" a="1"/>
  <c r="BS39" i="14" s="1"/>
  <c r="CA39" i="14" s="1"/>
  <c r="CI39" i="14" s="1"/>
  <c r="BS29" i="14" a="1"/>
  <c r="BS29" i="14" s="1"/>
  <c r="CA29" i="14" s="1"/>
  <c r="CI29" i="14" s="1"/>
  <c r="BI6" i="14"/>
  <c r="BH6" i="14"/>
  <c r="BG6" i="14"/>
  <c r="BF6" i="14"/>
  <c r="BE6" i="14"/>
  <c r="BD6" i="14"/>
  <c r="BC6" i="14"/>
  <c r="BB6" i="14"/>
  <c r="BA6" i="14"/>
  <c r="AZ6" i="14"/>
  <c r="AY6" i="14"/>
  <c r="AX6" i="14"/>
  <c r="AW6" i="14"/>
  <c r="AV6" i="14"/>
  <c r="AU6" i="14"/>
  <c r="AT6" i="14"/>
  <c r="AS6" i="14"/>
  <c r="AR6" i="14"/>
  <c r="AQ6" i="14"/>
  <c r="AP6" i="14"/>
  <c r="AO6" i="14"/>
  <c r="AN6" i="14"/>
  <c r="AM6" i="14"/>
  <c r="AL6" i="14"/>
  <c r="AK6" i="14"/>
  <c r="AJ6" i="14"/>
  <c r="AI6" i="14"/>
  <c r="AH6" i="14"/>
  <c r="AG6" i="14"/>
  <c r="AF6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F63" i="13" l="1"/>
  <c r="F58" i="13"/>
  <c r="F59" i="13"/>
  <c r="F57" i="13"/>
  <c r="F61" i="13"/>
  <c r="F55" i="13"/>
  <c r="F62" i="13"/>
  <c r="T30" i="17"/>
  <c r="T49" i="17"/>
  <c r="T50" i="17"/>
  <c r="T51" i="17"/>
  <c r="T48" i="17"/>
  <c r="S38" i="17"/>
  <c r="S48" i="17"/>
  <c r="S49" i="17"/>
  <c r="S50" i="17"/>
  <c r="S51" i="17"/>
  <c r="E7" i="19"/>
  <c r="F7" i="19" s="1"/>
  <c r="E6" i="19"/>
  <c r="F6" i="19" s="1"/>
  <c r="E9" i="19"/>
  <c r="F9" i="19" s="1"/>
  <c r="E8" i="19"/>
  <c r="F8" i="19" s="1"/>
  <c r="CA8" i="14"/>
  <c r="CI8" i="14" s="1"/>
  <c r="R20" i="17"/>
  <c r="R24" i="17"/>
  <c r="T16" i="17"/>
  <c r="R44" i="17"/>
  <c r="R31" i="17"/>
  <c r="R19" i="17"/>
  <c r="R43" i="17"/>
  <c r="T47" i="17"/>
  <c r="R15" i="17"/>
  <c r="R33" i="17"/>
  <c r="T40" i="17"/>
  <c r="R32" i="17"/>
  <c r="R39" i="17"/>
  <c r="R38" i="17"/>
  <c r="R37" i="17"/>
  <c r="R30" i="17"/>
  <c r="R23" i="17"/>
  <c r="R46" i="17"/>
  <c r="T28" i="17"/>
  <c r="R22" i="17"/>
  <c r="R45" i="17"/>
  <c r="T25" i="17"/>
  <c r="S23" i="17"/>
  <c r="S44" i="17"/>
  <c r="S31" i="17"/>
  <c r="T21" i="17"/>
  <c r="T34" i="17"/>
  <c r="T29" i="17"/>
  <c r="S22" i="17"/>
  <c r="S43" i="17"/>
  <c r="S30" i="17"/>
  <c r="T20" i="17"/>
  <c r="T33" i="17"/>
  <c r="S21" i="17"/>
  <c r="S34" i="17"/>
  <c r="S29" i="17"/>
  <c r="T19" i="17"/>
  <c r="T37" i="17"/>
  <c r="T32" i="17"/>
  <c r="S20" i="17"/>
  <c r="S33" i="17"/>
  <c r="T27" i="17"/>
  <c r="T18" i="17"/>
  <c r="T36" i="17"/>
  <c r="T42" i="17"/>
  <c r="R21" i="17"/>
  <c r="R34" i="17"/>
  <c r="R29" i="17"/>
  <c r="S19" i="17"/>
  <c r="S37" i="17"/>
  <c r="S32" i="17"/>
  <c r="T26" i="17"/>
  <c r="T17" i="17"/>
  <c r="T35" i="17"/>
  <c r="T41" i="17"/>
  <c r="S27" i="17"/>
  <c r="S18" i="17"/>
  <c r="S36" i="17"/>
  <c r="S42" i="17"/>
  <c r="S26" i="17"/>
  <c r="S17" i="17"/>
  <c r="S35" i="17"/>
  <c r="S41" i="17"/>
  <c r="T24" i="17"/>
  <c r="T15" i="17"/>
  <c r="T46" i="17"/>
  <c r="T39" i="17"/>
  <c r="R27" i="17"/>
  <c r="R18" i="17"/>
  <c r="R36" i="17"/>
  <c r="R42" i="17"/>
  <c r="S28" i="17"/>
  <c r="S25" i="17"/>
  <c r="S16" i="17"/>
  <c r="S47" i="17"/>
  <c r="S40" i="17"/>
  <c r="T45" i="17"/>
  <c r="T38" i="17"/>
  <c r="R26" i="17"/>
  <c r="R17" i="17"/>
  <c r="R35" i="17"/>
  <c r="R41" i="17"/>
  <c r="S24" i="17"/>
  <c r="S46" i="17"/>
  <c r="S39" i="17"/>
  <c r="T23" i="17"/>
  <c r="T44" i="17"/>
  <c r="T31" i="17"/>
  <c r="R28" i="17"/>
  <c r="R25" i="17"/>
  <c r="R16" i="17"/>
  <c r="R47" i="17"/>
  <c r="S45" i="17"/>
  <c r="T22" i="17"/>
  <c r="T43" i="17"/>
  <c r="H13" i="15"/>
  <c r="J21" i="15" s="1"/>
  <c r="H12" i="15"/>
  <c r="H11" i="15"/>
  <c r="H10" i="15"/>
  <c r="H9" i="15"/>
  <c r="H19" i="15" s="1"/>
  <c r="Y51" i="17" l="1"/>
  <c r="Y58" i="13" s="1"/>
  <c r="Y50" i="17"/>
  <c r="Y57" i="13" s="1"/>
  <c r="Y48" i="17"/>
  <c r="Y55" i="13" s="1"/>
  <c r="Y49" i="17"/>
  <c r="Y56" i="13" s="1"/>
  <c r="I21" i="15"/>
  <c r="H20" i="15"/>
  <c r="K20" i="15" s="1"/>
  <c r="X22" i="13" s="1"/>
  <c r="W26" i="13"/>
  <c r="W32" i="13"/>
  <c r="W11" i="13"/>
  <c r="W29" i="13"/>
  <c r="W22" i="13"/>
  <c r="W8" i="13"/>
  <c r="W13" i="13"/>
  <c r="W9" i="13"/>
  <c r="W14" i="13"/>
  <c r="W15" i="13"/>
  <c r="W10" i="13"/>
  <c r="W16" i="13"/>
  <c r="W33" i="13"/>
  <c r="W34" i="13"/>
  <c r="W37" i="13"/>
  <c r="W38" i="13"/>
  <c r="W40" i="13"/>
  <c r="W27" i="13"/>
  <c r="Y39" i="17"/>
  <c r="Y28" i="17"/>
  <c r="Y29" i="17"/>
  <c r="Y16" i="17"/>
  <c r="Y22" i="17"/>
  <c r="Y46" i="17"/>
  <c r="Y37" i="17"/>
  <c r="Y32" i="17"/>
  <c r="Y44" i="17"/>
  <c r="Y18" i="17"/>
  <c r="Y17" i="17"/>
  <c r="Y27" i="17"/>
  <c r="Y26" i="17"/>
  <c r="Y21" i="17"/>
  <c r="Y42" i="17"/>
  <c r="Y35" i="17"/>
  <c r="Y47" i="17"/>
  <c r="Y25" i="17"/>
  <c r="Y15" i="17"/>
  <c r="Y12" i="13" s="1"/>
  <c r="Y24" i="17"/>
  <c r="Y36" i="17"/>
  <c r="Y23" i="17"/>
  <c r="Y41" i="17"/>
  <c r="Y38" i="17"/>
  <c r="Y31" i="17"/>
  <c r="Y30" i="17"/>
  <c r="Y34" i="17"/>
  <c r="Y43" i="17"/>
  <c r="Y40" i="17"/>
  <c r="Y37" i="13" s="1"/>
  <c r="Y20" i="17"/>
  <c r="Y19" i="17"/>
  <c r="Y33" i="17"/>
  <c r="Y45" i="17"/>
  <c r="H21" i="15"/>
  <c r="H22" i="15"/>
  <c r="K22" i="15" s="1"/>
  <c r="I19" i="15"/>
  <c r="K19" i="15" s="1"/>
  <c r="X17" i="13" s="1"/>
  <c r="K21" i="15" l="1"/>
  <c r="X33" i="13" s="1"/>
  <c r="X20" i="13"/>
  <c r="X24" i="13"/>
  <c r="X21" i="13"/>
  <c r="X19" i="13"/>
  <c r="X25" i="13"/>
  <c r="W39" i="13"/>
  <c r="W31" i="13"/>
  <c r="W35" i="13"/>
  <c r="W36" i="13"/>
  <c r="W44" i="13"/>
  <c r="W43" i="13"/>
  <c r="W47" i="13"/>
  <c r="W30" i="13"/>
  <c r="W46" i="13"/>
  <c r="W45" i="13"/>
  <c r="W28" i="13"/>
  <c r="W41" i="13"/>
  <c r="W17" i="13"/>
  <c r="W42" i="13"/>
  <c r="W20" i="13"/>
  <c r="W19" i="13"/>
  <c r="W24" i="13"/>
  <c r="W21" i="13"/>
  <c r="W18" i="13"/>
  <c r="W23" i="13"/>
  <c r="W25" i="13"/>
  <c r="W12" i="13"/>
  <c r="Y24" i="13"/>
  <c r="Y11" i="13"/>
  <c r="Y13" i="13"/>
  <c r="Y23" i="13"/>
  <c r="Y25" i="13"/>
  <c r="Y33" i="13"/>
  <c r="Y18" i="13"/>
  <c r="Y27" i="13"/>
  <c r="Y9" i="13"/>
  <c r="Y19" i="13"/>
  <c r="Y17" i="13"/>
  <c r="Y29" i="13"/>
  <c r="Y16" i="13"/>
  <c r="Y22" i="13"/>
  <c r="Z22" i="13" s="1"/>
  <c r="Y15" i="13"/>
  <c r="Y28" i="13"/>
  <c r="Y40" i="13"/>
  <c r="X44" i="13"/>
  <c r="Y38" i="13"/>
  <c r="Y26" i="13"/>
  <c r="Y14" i="13"/>
  <c r="Y35" i="13"/>
  <c r="Y36" i="13"/>
  <c r="Y8" i="13"/>
  <c r="Y32" i="13"/>
  <c r="Y34" i="13"/>
  <c r="Y31" i="13"/>
  <c r="Y39" i="13"/>
  <c r="Y20" i="13"/>
  <c r="Y30" i="13"/>
  <c r="Y21" i="13"/>
  <c r="Y10" i="13"/>
  <c r="X43" i="13"/>
  <c r="X42" i="13"/>
  <c r="X45" i="13"/>
  <c r="X41" i="13"/>
  <c r="X15" i="13"/>
  <c r="X10" i="13"/>
  <c r="X16" i="13"/>
  <c r="X9" i="13"/>
  <c r="X11" i="13"/>
  <c r="X12" i="13"/>
  <c r="X23" i="13"/>
  <c r="X13" i="13"/>
  <c r="X18" i="13"/>
  <c r="X8" i="13"/>
  <c r="X14" i="13"/>
  <c r="X46" i="13"/>
  <c r="X47" i="13"/>
  <c r="X30" i="13" l="1"/>
  <c r="Z30" i="13" s="1"/>
  <c r="X28" i="13"/>
  <c r="Z28" i="13" s="1"/>
  <c r="X32" i="13"/>
  <c r="Z32" i="13" s="1"/>
  <c r="Z33" i="13"/>
  <c r="X35" i="13"/>
  <c r="Z35" i="13" s="1"/>
  <c r="X31" i="13"/>
  <c r="Z31" i="13" s="1"/>
  <c r="X34" i="13"/>
  <c r="Z34" i="13" s="1"/>
  <c r="X27" i="13"/>
  <c r="Z27" i="13" s="1"/>
  <c r="X29" i="13"/>
  <c r="Z29" i="13" s="1"/>
  <c r="Z17" i="13"/>
  <c r="Z20" i="13"/>
  <c r="Z21" i="13"/>
  <c r="Z19" i="13"/>
  <c r="Z24" i="13"/>
  <c r="Z25" i="13"/>
  <c r="Z47" i="13"/>
  <c r="Z23" i="13"/>
  <c r="Z9" i="13"/>
  <c r="Z8" i="13"/>
  <c r="Z45" i="13"/>
  <c r="Z46" i="13"/>
  <c r="Z44" i="13"/>
  <c r="Z16" i="13"/>
  <c r="Z43" i="13"/>
  <c r="Z10" i="13"/>
  <c r="Z14" i="13"/>
  <c r="Z18" i="13"/>
  <c r="Z13" i="13"/>
  <c r="Z42" i="13"/>
  <c r="Z15" i="13"/>
  <c r="Z41" i="13"/>
  <c r="Z11" i="13"/>
  <c r="Z12" i="13"/>
  <c r="X40" i="13"/>
  <c r="Z40" i="13" s="1"/>
  <c r="X38" i="13"/>
  <c r="Z38" i="13" s="1"/>
  <c r="X37" i="13"/>
  <c r="Z37" i="13" s="1"/>
  <c r="X36" i="13"/>
  <c r="Z36" i="13" s="1"/>
  <c r="X26" i="13"/>
  <c r="Z26" i="13" s="1"/>
  <c r="X39" i="13"/>
  <c r="Z39" i="13" s="1"/>
  <c r="O29" i="21" l="1"/>
  <c r="T29" i="21" s="1"/>
  <c r="O31" i="21"/>
  <c r="T31" i="21" s="1"/>
  <c r="O30" i="21"/>
  <c r="T30" i="21" s="1"/>
  <c r="S5" i="13"/>
  <c r="O25" i="21"/>
  <c r="O24" i="21"/>
  <c r="T24" i="21" s="1"/>
  <c r="P25" i="21"/>
  <c r="P27" i="21"/>
  <c r="P28" i="21"/>
  <c r="Q28" i="21"/>
  <c r="Q27" i="21"/>
  <c r="O27" i="21"/>
  <c r="O26" i="21"/>
  <c r="T26" i="21" s="1"/>
  <c r="O28" i="21"/>
  <c r="O33" i="21"/>
  <c r="T33" i="21" s="1"/>
  <c r="O32" i="21"/>
  <c r="T32" i="21" s="1"/>
  <c r="S3" i="13"/>
  <c r="D8" i="19"/>
  <c r="G8" i="19" s="1"/>
  <c r="H8" i="19" s="1"/>
  <c r="D6" i="19"/>
  <c r="G6" i="19" s="1"/>
  <c r="H6" i="19" s="1"/>
  <c r="D9" i="19"/>
  <c r="G9" i="19" s="1"/>
  <c r="H9" i="19" s="1"/>
  <c r="D7" i="19"/>
  <c r="G7" i="19" s="1"/>
  <c r="H7" i="19" s="1"/>
  <c r="T28" i="21" l="1"/>
  <c r="T27" i="21"/>
  <c r="T25" i="21"/>
  <c r="X56" i="13"/>
  <c r="Z56" i="13" s="1"/>
  <c r="X58" i="13"/>
  <c r="Z58" i="13" s="1"/>
  <c r="X55" i="13"/>
  <c r="Z55" i="13" s="1"/>
  <c r="X57" i="13"/>
  <c r="Z57" i="13" s="1"/>
  <c r="S4" i="13" l="1"/>
  <c r="S2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<sst xmlns="http://schemas.openxmlformats.org/spreadsheetml/2006/main" count="1054" uniqueCount="360">
  <si>
    <t>Asignatura</t>
  </si>
  <si>
    <t>Cuatrimestre</t>
  </si>
  <si>
    <t>Especialidad</t>
  </si>
  <si>
    <t>AFC08</t>
  </si>
  <si>
    <t>AFC06</t>
  </si>
  <si>
    <t>Curso</t>
  </si>
  <si>
    <t>AFC02</t>
  </si>
  <si>
    <t>AFC03</t>
  </si>
  <si>
    <t>AFC01</t>
  </si>
  <si>
    <t>AFC07</t>
  </si>
  <si>
    <t>AFC04</t>
  </si>
  <si>
    <t>AFC05</t>
  </si>
  <si>
    <t>Álgebra</t>
  </si>
  <si>
    <t>ID</t>
  </si>
  <si>
    <t>Módulo</t>
  </si>
  <si>
    <t>ECTS</t>
  </si>
  <si>
    <t>M1</t>
  </si>
  <si>
    <t>M2</t>
  </si>
  <si>
    <t>TOTAL</t>
  </si>
  <si>
    <t>M3</t>
  </si>
  <si>
    <t>M4</t>
  </si>
  <si>
    <t>M5</t>
  </si>
  <si>
    <t>Desc.Asignatura PLAN ACTUAL</t>
  </si>
  <si>
    <t>Clase</t>
  </si>
  <si>
    <t>Obligatoria</t>
  </si>
  <si>
    <t>LC1(Sistemas de Telecomunicación)</t>
  </si>
  <si>
    <t>Optativa</t>
  </si>
  <si>
    <t>LC2(Sistemas Electrónicos)</t>
  </si>
  <si>
    <t>LC3(Telemática)</t>
  </si>
  <si>
    <t>Módulo de Optatividad General</t>
  </si>
  <si>
    <t>ID Asig</t>
  </si>
  <si>
    <t>Tipo</t>
  </si>
  <si>
    <t>Básica</t>
  </si>
  <si>
    <t>28278</t>
  </si>
  <si>
    <t>28279</t>
  </si>
  <si>
    <t>X</t>
  </si>
  <si>
    <t>Asignatura Primaria</t>
  </si>
  <si>
    <t>Asignaturas requeridas para adaptar</t>
  </si>
  <si>
    <t>SI</t>
  </si>
  <si>
    <t>NO</t>
  </si>
  <si>
    <t>Adaptada por Asignaturas?</t>
  </si>
  <si>
    <t>Formación Básica</t>
  </si>
  <si>
    <t>ID Modulo</t>
  </si>
  <si>
    <t>ECTS Totales</t>
  </si>
  <si>
    <t>ECTS Superados</t>
  </si>
  <si>
    <t>Módulo superado?</t>
  </si>
  <si>
    <t>Módulo Origen</t>
  </si>
  <si>
    <t>Módulo de Origen</t>
  </si>
  <si>
    <t>Módulo de Destino</t>
  </si>
  <si>
    <t>Módulo Origen Primario Superado?</t>
  </si>
  <si>
    <t>Módulo Origen Secundario Superado?</t>
  </si>
  <si>
    <t>Módulo Origen Terciario Superado?</t>
  </si>
  <si>
    <t>Módulo Destino Adaptado?</t>
  </si>
  <si>
    <t>Adaptada por Módulo?</t>
  </si>
  <si>
    <t>Adaptada por Cond. Particulares?</t>
  </si>
  <si>
    <t>Opt1</t>
  </si>
  <si>
    <t>Opt2</t>
  </si>
  <si>
    <t>Módulo Origen 1</t>
  </si>
  <si>
    <t xml:space="preserve"> O Módulo Origen 2</t>
  </si>
  <si>
    <t>O Módulo Origen 3</t>
  </si>
  <si>
    <t>Condición</t>
  </si>
  <si>
    <t>Asignaturas Adaptadas si Condicion 1</t>
  </si>
  <si>
    <t>Descripción</t>
  </si>
  <si>
    <t>Límite ECTS definidos para adaptar el módulo</t>
  </si>
  <si>
    <t>Módulo superado con los límites?</t>
  </si>
  <si>
    <t>*En el caso de que a un alumno le falten X ects para aprobar un módulo, se le adaptará el módulo completo automáticamente.</t>
  </si>
  <si>
    <t>ECTS Superados en Origen</t>
  </si>
  <si>
    <t>Cumple condición?</t>
  </si>
  <si>
    <t>Asignaturas Adaptadas si Condicion 2</t>
  </si>
  <si>
    <t>Asignaturas Adaptadas si Condicion 3</t>
  </si>
  <si>
    <t>Asignaturas Adaptadas si Condicion 4</t>
  </si>
  <si>
    <t>Asignaturas Adaptadas si Condicion 5</t>
  </si>
  <si>
    <t>Asignaturas Adaptadas si Condicion 6</t>
  </si>
  <si>
    <t>Asignaturas Adaptadas si Condicion 7</t>
  </si>
  <si>
    <t>Adaptada por Condición 4</t>
  </si>
  <si>
    <t>Adaptada por Condición 3</t>
  </si>
  <si>
    <t>Adaptada por Condición 2</t>
  </si>
  <si>
    <t>Adaptada por Condición 1</t>
  </si>
  <si>
    <t>Adaptada por Condición 5</t>
  </si>
  <si>
    <t>Adaptada por Condición 6</t>
  </si>
  <si>
    <t>Adaptada por Condición 7</t>
  </si>
  <si>
    <t>Adaptada por condiciones particulares?</t>
  </si>
  <si>
    <t>No ofertada</t>
  </si>
  <si>
    <t>Adaptada por Optativa?</t>
  </si>
  <si>
    <t xml:space="preserve">GRADO ACTUAL </t>
  </si>
  <si>
    <t>NUEVO GRADO</t>
  </si>
  <si>
    <t>Asignatura Aprobada</t>
  </si>
  <si>
    <t>ECTS en Grado Actual  ya aprobados</t>
  </si>
  <si>
    <t>ECTS en Grado Nuevo a Matricular</t>
  </si>
  <si>
    <t>Adaptada</t>
  </si>
  <si>
    <t>Asignatura a procesar?</t>
  </si>
  <si>
    <t>Asignatura Adaptada?</t>
  </si>
  <si>
    <t>Codigo Asignatura</t>
  </si>
  <si>
    <t>ECTS 1 y 2</t>
  </si>
  <si>
    <t>ECTS  Superados en Origen</t>
  </si>
  <si>
    <t>Condición 2: Si ECTS en origen supera a ECTS Destino se compensa con optativas</t>
  </si>
  <si>
    <t>ECTS En Destino</t>
  </si>
  <si>
    <t>Matriculado y Aprobado en 25/26</t>
  </si>
  <si>
    <t>Asignaturas especialidad</t>
  </si>
  <si>
    <t>??</t>
  </si>
  <si>
    <t>??2</t>
  </si>
  <si>
    <t>Las asignaturas que se adaptan aparecerán aquí</t>
  </si>
  <si>
    <t>Selecciona asignaturas ya aprobadas y las que te matricularás</t>
  </si>
  <si>
    <t>FORMACIÓN NÁUTICA MARÍTIMA </t>
  </si>
  <si>
    <t>INTENSIFICACIÓN ESPECÍFICA </t>
  </si>
  <si>
    <t>FORMACIÓN ESPECÍFICA </t>
  </si>
  <si>
    <t>Empresa</t>
  </si>
  <si>
    <t>Expresión Gráfica</t>
  </si>
  <si>
    <t>Inglés I</t>
  </si>
  <si>
    <t>Física I</t>
  </si>
  <si>
    <t>Física II</t>
  </si>
  <si>
    <t>Informática</t>
  </si>
  <si>
    <t>Química</t>
  </si>
  <si>
    <t>Matemáticas I</t>
  </si>
  <si>
    <t>Matemáticas II</t>
  </si>
  <si>
    <t>Inglés II</t>
  </si>
  <si>
    <t>Construcción Naval</t>
  </si>
  <si>
    <t>Teoria del Buque</t>
  </si>
  <si>
    <t>Seguridad del Buque y Prevención de la Contaminación</t>
  </si>
  <si>
    <t>Sistemas Principales y Auxiliares</t>
  </si>
  <si>
    <t>Electrónica y Automática</t>
  </si>
  <si>
    <t>Electrotecnia y Propulsión Eléctrica</t>
  </si>
  <si>
    <t>Derecho Marítimo</t>
  </si>
  <si>
    <t>Seguridad Aplicada</t>
  </si>
  <si>
    <t>Motores de Combustión Interna II</t>
  </si>
  <si>
    <t>Calderas y Turbinas de Vapor I</t>
  </si>
  <si>
    <t>Gestión Integral de Mantenimiento</t>
  </si>
  <si>
    <t>Motores de Combustión Interna I</t>
  </si>
  <si>
    <t>Técnicas de Frio y Climatización</t>
  </si>
  <si>
    <t>Transportes Especiales</t>
  </si>
  <si>
    <t>Calderas y Turbinas de Vapor II</t>
  </si>
  <si>
    <t>Electrónica de Potencia y Motores Eléctricos</t>
  </si>
  <si>
    <t>Oficina Técnica</t>
  </si>
  <si>
    <t>Instrumentación, Regulación y Control</t>
  </si>
  <si>
    <t>Tecnología Mecánica</t>
  </si>
  <si>
    <t>Termotecnia y Mecánica de Fluidos</t>
  </si>
  <si>
    <t>Mecánica y Resistencia de los Materiales</t>
  </si>
  <si>
    <t>Ciencias y Técnicas de los Materiales</t>
  </si>
  <si>
    <t>FORMACIÓN ESPECÍFICA DE PRÁCTICAS EN BUQUE</t>
  </si>
  <si>
    <t>Prácticas en Buques</t>
  </si>
  <si>
    <t>PLAN DIRECTOR DE EUSKERA </t>
  </si>
  <si>
    <t>Comunicación Científico-técnica Escrita en Euskera</t>
  </si>
  <si>
    <t xml:space="preserve">Comunicación Científico-técnica Oral en Euskera	</t>
  </si>
  <si>
    <t>Prevención de Riesgos Laborales</t>
  </si>
  <si>
    <t>Técnicas de Mantenimiento</t>
  </si>
  <si>
    <t>Automatización Naval</t>
  </si>
  <si>
    <t>Elasticidad y Resistencia de Materiales</t>
  </si>
  <si>
    <t>Instalaciones Marítimas</t>
  </si>
  <si>
    <t>Montajes y Mediciones</t>
  </si>
  <si>
    <t>Propulsión Eléctrica</t>
  </si>
  <si>
    <t>Regulación Automática</t>
  </si>
  <si>
    <t>A</t>
  </si>
  <si>
    <t>AFB01</t>
  </si>
  <si>
    <t>Empresa y Economía Marítima</t>
  </si>
  <si>
    <t>AFB02</t>
  </si>
  <si>
    <t>AFB03</t>
  </si>
  <si>
    <t>Inglés Técnico Marítimo</t>
  </si>
  <si>
    <t>AFB04</t>
  </si>
  <si>
    <t>AFB05</t>
  </si>
  <si>
    <t>AFB06</t>
  </si>
  <si>
    <t>AFB07</t>
  </si>
  <si>
    <t>AFB08</t>
  </si>
  <si>
    <t>AFB09</t>
  </si>
  <si>
    <t>Calculo</t>
  </si>
  <si>
    <t>AFB10</t>
  </si>
  <si>
    <t>Fundamentos aplicados de matemáticas</t>
  </si>
  <si>
    <t>Formación común a la rama Náutico-Marina</t>
  </si>
  <si>
    <t>Supervivencia y Lucha Contra Incendios</t>
  </si>
  <si>
    <t xml:space="preserve">Seguridad del Buque y Prevención de la Contaminación </t>
  </si>
  <si>
    <t>Sistemas Principales y Auxiliares del Buque</t>
  </si>
  <si>
    <t>Teoría del Buque y Construcción Naval</t>
  </si>
  <si>
    <t>Electrotecnia marina</t>
  </si>
  <si>
    <t>Medicina Marítima</t>
  </si>
  <si>
    <t>Formación Específica en Tecnologías Marinas</t>
  </si>
  <si>
    <t>AFTM01</t>
  </si>
  <si>
    <t>Motores marinos y Propulsión</t>
  </si>
  <si>
    <t>AFTM02</t>
  </si>
  <si>
    <t>Generadores marinos de vapor</t>
  </si>
  <si>
    <t>AFTM03</t>
  </si>
  <si>
    <t>Gestión Integral del Mantenimiento y Guardia en Máquinas</t>
  </si>
  <si>
    <t>AFTM04</t>
  </si>
  <si>
    <t>Motores marinos de Combustión Interna</t>
  </si>
  <si>
    <t>AFTM05</t>
  </si>
  <si>
    <t>Técnicas de Frío y Climatización en el buque</t>
  </si>
  <si>
    <t>AFTM06</t>
  </si>
  <si>
    <t>Transportes especiales</t>
  </si>
  <si>
    <t>AFTM07</t>
  </si>
  <si>
    <t>Turbinas marinas de vapor</t>
  </si>
  <si>
    <t>AFTM08</t>
  </si>
  <si>
    <t>Electrónica de Potencia y 
Propulsión eléctrica marina</t>
  </si>
  <si>
    <t>AFTM09</t>
  </si>
  <si>
    <t>Gestión de Proyectos</t>
  </si>
  <si>
    <t>AFTM10</t>
  </si>
  <si>
    <t>Instrumentación, Regulación y Control en el buque</t>
  </si>
  <si>
    <t>AFTM11</t>
  </si>
  <si>
    <t xml:space="preserve">Tecnología Mecánica </t>
  </si>
  <si>
    <t>AFTM12</t>
  </si>
  <si>
    <t>AFTM13</t>
  </si>
  <si>
    <t>Mecánica y Resistencia de Materiales</t>
  </si>
  <si>
    <t>AFTM14</t>
  </si>
  <si>
    <t xml:space="preserve">Ciencia y Técnica de los Materiales </t>
  </si>
  <si>
    <t>AFTM15</t>
  </si>
  <si>
    <t>Operaciones Avanzadas en Buques Tanque</t>
  </si>
  <si>
    <t>Optatividad General</t>
  </si>
  <si>
    <t>OP1</t>
  </si>
  <si>
    <t>Ampliación de Derecho Marítimo</t>
  </si>
  <si>
    <t>OP2</t>
  </si>
  <si>
    <t>English in the  maritime workplace</t>
  </si>
  <si>
    <t>OP3</t>
  </si>
  <si>
    <t>Prevención de Riesgos Laborales, Liderazgo y Trabajo en equipo a bordo de los buques</t>
  </si>
  <si>
    <t>OP4</t>
  </si>
  <si>
    <t>Prácticas en Buque</t>
  </si>
  <si>
    <t>OP5</t>
  </si>
  <si>
    <t>Comunicación científico-técnica escrita en Euskera</t>
  </si>
  <si>
    <t>OP6</t>
  </si>
  <si>
    <t>Comunicación científico-técnica oral en Euskera</t>
  </si>
  <si>
    <t>OP7</t>
  </si>
  <si>
    <t>Buques de Pasaje y Protección Marítima</t>
  </si>
  <si>
    <t>Optativa 1 del Nuevo Grado</t>
  </si>
  <si>
    <t>27448</t>
  </si>
  <si>
    <t>27443</t>
  </si>
  <si>
    <t>27447</t>
  </si>
  <si>
    <t>27445</t>
  </si>
  <si>
    <t>27451</t>
  </si>
  <si>
    <t>27444</t>
  </si>
  <si>
    <t>27446</t>
  </si>
  <si>
    <t>27452</t>
  </si>
  <si>
    <t>27442</t>
  </si>
  <si>
    <t>27449</t>
  </si>
  <si>
    <t>27450</t>
  </si>
  <si>
    <t>27456</t>
  </si>
  <si>
    <t>27453</t>
  </si>
  <si>
    <t>27454</t>
  </si>
  <si>
    <t>27457</t>
  </si>
  <si>
    <t>27459</t>
  </si>
  <si>
    <t>27458</t>
  </si>
  <si>
    <t>27455</t>
  </si>
  <si>
    <t>27485</t>
  </si>
  <si>
    <t>27484</t>
  </si>
  <si>
    <t>27492</t>
  </si>
  <si>
    <t>27491</t>
  </si>
  <si>
    <t>27488</t>
  </si>
  <si>
    <t>27487</t>
  </si>
  <si>
    <t>27486</t>
  </si>
  <si>
    <t>27489</t>
  </si>
  <si>
    <t>27490</t>
  </si>
  <si>
    <t>26047</t>
  </si>
  <si>
    <t>27493</t>
  </si>
  <si>
    <t>27494</t>
  </si>
  <si>
    <t>27496</t>
  </si>
  <si>
    <t>27495</t>
  </si>
  <si>
    <t>27502</t>
  </si>
  <si>
    <t>27503</t>
  </si>
  <si>
    <t>27499</t>
  </si>
  <si>
    <t>27504</t>
  </si>
  <si>
    <t>27500</t>
  </si>
  <si>
    <t>27498</t>
  </si>
  <si>
    <t>27497</t>
  </si>
  <si>
    <t>27501</t>
  </si>
  <si>
    <t>27506</t>
  </si>
  <si>
    <t>Asignatura Secundaria Y1</t>
  </si>
  <si>
    <t>Asignatura Secundaria Y2</t>
  </si>
  <si>
    <t>Asignatura Secundaria Y3</t>
  </si>
  <si>
    <t>Aux1</t>
  </si>
  <si>
    <t>Aux2</t>
  </si>
  <si>
    <t>Aux3</t>
  </si>
  <si>
    <t>Aux4</t>
  </si>
  <si>
    <t>Aux5</t>
  </si>
  <si>
    <t>Aux6</t>
  </si>
  <si>
    <t>Aux7</t>
  </si>
  <si>
    <t>Aux8</t>
  </si>
  <si>
    <t>Aux9</t>
  </si>
  <si>
    <t>Aux10</t>
  </si>
  <si>
    <t>Aux11</t>
  </si>
  <si>
    <t>Aux12</t>
  </si>
  <si>
    <t>Aux13</t>
  </si>
  <si>
    <t>Aux14</t>
  </si>
  <si>
    <t>Aux15</t>
  </si>
  <si>
    <t>Aux16</t>
  </si>
  <si>
    <t>Y1</t>
  </si>
  <si>
    <t>Y2</t>
  </si>
  <si>
    <t>Y3</t>
  </si>
  <si>
    <t>Y4</t>
  </si>
  <si>
    <t>Y1 Superada?</t>
  </si>
  <si>
    <t>Primaria Superada?</t>
  </si>
  <si>
    <t>Y2 Superada?</t>
  </si>
  <si>
    <t>Y4 superada?</t>
  </si>
  <si>
    <t>Y3 Superada?</t>
  </si>
  <si>
    <t>Asignatura Secundaria  Y4</t>
  </si>
  <si>
    <t>En el caso de que un estudiante haya aprobado al menos 90 ECTS entre primer y segundo curso, pero no tenga el módulo básico completo, se le aplicará la adaptación asignatura a asignatura, adaptando en el proceso la nueva asignatura “Fundamentos aplicados de matemáticas”.</t>
  </si>
  <si>
    <t>INTENSIFICACIÓN ESPECÍFICA  / Plan Director de Euskera</t>
  </si>
  <si>
    <t>Opt3</t>
  </si>
  <si>
    <t>Opt4</t>
  </si>
  <si>
    <t>ECTS Optativos ya adaptados</t>
  </si>
  <si>
    <t>N/A</t>
  </si>
  <si>
    <t>Asignatura Secundaria O1</t>
  </si>
  <si>
    <t>O1</t>
  </si>
  <si>
    <t>O1 Superada</t>
  </si>
  <si>
    <t>ECTS Optatividad Adaptados</t>
  </si>
  <si>
    <t>ECTS Oblligatorios Adaptados</t>
  </si>
  <si>
    <t>ECTS en Grado Nuevo  adaptado (Sin TFG)</t>
  </si>
  <si>
    <t>ECST pendientes en el Grado Adaptado (Sin TFG)</t>
  </si>
  <si>
    <t>ECTS/Totales</t>
  </si>
  <si>
    <t>Formación Sanitaria Específica Avanzada</t>
  </si>
  <si>
    <t>Formación Básica en Seguridad</t>
  </si>
  <si>
    <t>Avanzado en Lucha Contra Incendios</t>
  </si>
  <si>
    <t>Formación Básica Op. Carga en Petroleros y Quimiqueros</t>
  </si>
  <si>
    <t>Formación Básica Op. Carga en Buques Tanque para el transporte del Gas Licuado</t>
  </si>
  <si>
    <t>Formación Avanzada para Op. De Carga en Buques Tanque para el transporte de Gas Licuado</t>
  </si>
  <si>
    <t>Formación Avanzada para Op. De Carga en Quimiqueros</t>
  </si>
  <si>
    <t>Formación Avanzada para Op. De Carga en Petroleros</t>
  </si>
  <si>
    <t>Formación en Buques de Pasaje</t>
  </si>
  <si>
    <t>Embarcaciones de supervicencia y botes de rescate no rápidos</t>
  </si>
  <si>
    <t>Certificado</t>
  </si>
  <si>
    <t>Código</t>
  </si>
  <si>
    <t>CS1</t>
  </si>
  <si>
    <t>CS2</t>
  </si>
  <si>
    <t>CS3</t>
  </si>
  <si>
    <t>CS4</t>
  </si>
  <si>
    <t>CS5</t>
  </si>
  <si>
    <t>CS6</t>
  </si>
  <si>
    <t>CS7</t>
  </si>
  <si>
    <t>CS8</t>
  </si>
  <si>
    <t>CS9</t>
  </si>
  <si>
    <t>CS10</t>
  </si>
  <si>
    <t>Asignatura 1</t>
  </si>
  <si>
    <t>Asignatura 2</t>
  </si>
  <si>
    <t>Asignatura 3</t>
  </si>
  <si>
    <t>Asignatura 4</t>
  </si>
  <si>
    <t>Asignatura 5</t>
  </si>
  <si>
    <t>Den. Asignatura 1</t>
  </si>
  <si>
    <t>Den. Asignatura 2</t>
  </si>
  <si>
    <t>Den. Asignatura 3</t>
  </si>
  <si>
    <t>Den. Asignatura 4</t>
  </si>
  <si>
    <t>Den. Asignatura 5</t>
  </si>
  <si>
    <t>Aprobada Asignatura 1</t>
  </si>
  <si>
    <t>Aprobada Asignatura 2</t>
  </si>
  <si>
    <t>Aprobada Asignatura 3</t>
  </si>
  <si>
    <t>Aprobada Asignatura 4</t>
  </si>
  <si>
    <t>Aprobada Asignatura 5</t>
  </si>
  <si>
    <t>Aprobado?</t>
  </si>
  <si>
    <t>Número asignaturas</t>
  </si>
  <si>
    <t>Certificado de Sufgiciencia Marítima (Plan Actual)</t>
  </si>
  <si>
    <t>Plan Actual</t>
  </si>
  <si>
    <t>Plan Nuevo</t>
  </si>
  <si>
    <t>En el caso de que un estudiante haya aprobado el curso tercero completo, se le aprueba la asignatura Electróncia de Potencia y Propulsión eléctrica marina</t>
  </si>
  <si>
    <t>ECTS 3</t>
  </si>
  <si>
    <t>Optativas restantes</t>
  </si>
  <si>
    <t>Optativas plausibles</t>
  </si>
  <si>
    <t>Optativas adicionales adaptadas a las de la tabla anterior</t>
  </si>
  <si>
    <t>Cuatr.</t>
  </si>
  <si>
    <t>Ofertada</t>
  </si>
  <si>
    <t>Cuatr</t>
  </si>
  <si>
    <t>Cod. As.</t>
  </si>
  <si>
    <t>O2</t>
  </si>
  <si>
    <t>O3</t>
  </si>
  <si>
    <t>Asignatura Secundaria O2</t>
  </si>
  <si>
    <t>Asignatura Secundaria O3</t>
  </si>
  <si>
    <t>O2 Superada</t>
  </si>
  <si>
    <t>O3 Superada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</si>
</sst>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color rgb="FF000000"/>
      <name val="Aptos Narrow"/>
      <family val="2"/>
      <charset val="1"/>
    </font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charset val="1"/>
    </font>
    <font>
      <b/>
      <sz val="12"/>
      <color theme="1"/>
      <name val="Aptos Narrow"/>
      <family val="2"/>
      <charset val="1"/>
    </font>
    <font>
      <sz val="12"/>
      <color rgb="FFFF0000"/>
      <name val="Aptos Narrow"/>
      <family val="2"/>
      <charset val="1"/>
    </font>
    <font>
      <sz val="12"/>
      <name val="Aptos Narrow"/>
      <family val="2"/>
      <scheme val="minor"/>
    </font>
    <font>
      <b/>
      <sz val="12"/>
      <color rgb="FF000000"/>
      <name val="Aptos Narrow"/>
      <family val="2"/>
      <charset val="1"/>
    </font>
    <font>
      <sz val="12"/>
      <color rgb="FF000000"/>
      <name val="Calibri"/>
      <family val="2"/>
      <charset val="1"/>
    </font>
    <font>
      <b/>
      <sz val="12"/>
      <color rgb="FF000000"/>
      <name val="Aptos Narrow"/>
    </font>
    <font>
      <b/>
      <sz val="16"/>
      <color rgb="FF000000"/>
      <name val="Aptos Narrow"/>
    </font>
    <font>
      <b/>
      <sz val="12"/>
      <color theme="1"/>
      <name val="Aptos Narrow"/>
    </font>
    <font>
      <sz val="8"/>
      <name val="Aptos Narrow"/>
      <family val="2"/>
      <charset val="1"/>
    </font>
    <font>
      <b/>
      <sz val="12"/>
      <color rgb="FFFF0000"/>
      <name val="Aptos Narrow"/>
    </font>
    <font>
      <b/>
      <sz val="18"/>
      <color rgb="FF000000"/>
      <name val="Aptos Narrow"/>
    </font>
    <font>
      <sz val="12"/>
      <color rgb="FFFF0000"/>
      <name val="Aptos Narrow (Cuerpo)"/>
    </font>
    <font>
      <sz val="11"/>
      <name val="Aptos Narrow"/>
      <family val="2"/>
      <scheme val="minor"/>
    </font>
    <font>
      <sz val="12"/>
      <color rgb="FF000000"/>
      <name val="Aptos Narrow"/>
    </font>
    <font>
      <sz val="11"/>
      <name val="Aptos Narrow"/>
    </font>
    <font>
      <sz val="11"/>
      <name val="Aptos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7030A0"/>
        <bgColor rgb="FFC0C0C0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107">
    <xf numFmtId="0" fontId="0" fillId="0" borderId="0" xfId="0"/>
    <xf numFmtId="0" fontId="0" fillId="0" borderId="1" xfId="0" applyBorder="1"/>
    <xf numFmtId="0" fontId="0" fillId="2" borderId="0" xfId="0" applyFill="1"/>
    <xf numFmtId="0" fontId="7" fillId="0" borderId="6" xfId="0" applyFont="1" applyBorder="1"/>
    <xf numFmtId="0" fontId="6" fillId="3" borderId="0" xfId="0" applyFont="1" applyFill="1"/>
    <xf numFmtId="0" fontId="6" fillId="0" borderId="0" xfId="0" applyFont="1"/>
    <xf numFmtId="0" fontId="10" fillId="0" borderId="8" xfId="0" applyFont="1" applyBorder="1"/>
    <xf numFmtId="0" fontId="6" fillId="0" borderId="1" xfId="0" applyFont="1" applyBorder="1"/>
    <xf numFmtId="0" fontId="5" fillId="0" borderId="6" xfId="0" applyFont="1" applyBorder="1"/>
    <xf numFmtId="0" fontId="5" fillId="0" borderId="0" xfId="0" applyFont="1"/>
    <xf numFmtId="0" fontId="5" fillId="0" borderId="1" xfId="0" applyFont="1" applyBorder="1"/>
    <xf numFmtId="0" fontId="10" fillId="0" borderId="0" xfId="0" applyFont="1"/>
    <xf numFmtId="0" fontId="6" fillId="0" borderId="2" xfId="0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3" xfId="0" applyBorder="1"/>
    <xf numFmtId="0" fontId="5" fillId="0" borderId="0" xfId="0" applyFont="1" applyAlignment="1">
      <alignment textRotation="90"/>
    </xf>
    <xf numFmtId="0" fontId="5" fillId="0" borderId="1" xfId="0" applyFont="1" applyBorder="1" applyAlignment="1">
      <alignment textRotation="90"/>
    </xf>
    <xf numFmtId="0" fontId="0" fillId="0" borderId="0" xfId="0" applyAlignment="1">
      <alignment wrapText="1"/>
    </xf>
    <xf numFmtId="0" fontId="6" fillId="4" borderId="0" xfId="0" applyFont="1" applyFill="1"/>
    <xf numFmtId="0" fontId="6" fillId="0" borderId="12" xfId="0" applyFont="1" applyBorder="1"/>
    <xf numFmtId="0" fontId="16" fillId="0" borderId="0" xfId="0" applyFont="1"/>
    <xf numFmtId="0" fontId="8" fillId="0" borderId="0" xfId="0" applyFont="1" applyAlignment="1">
      <alignment wrapText="1"/>
    </xf>
    <xf numFmtId="0" fontId="12" fillId="0" borderId="0" xfId="0" applyFont="1"/>
    <xf numFmtId="0" fontId="0" fillId="0" borderId="8" xfId="0" applyBorder="1"/>
    <xf numFmtId="0" fontId="6" fillId="0" borderId="9" xfId="0" applyFont="1" applyBorder="1"/>
    <xf numFmtId="0" fontId="18" fillId="0" borderId="1" xfId="0" applyFont="1" applyBorder="1"/>
    <xf numFmtId="0" fontId="19" fillId="0" borderId="1" xfId="1" applyFont="1" applyBorder="1"/>
    <xf numFmtId="0" fontId="19" fillId="0" borderId="2" xfId="1" applyFont="1" applyBorder="1"/>
    <xf numFmtId="49" fontId="3" fillId="0" borderId="3" xfId="1" applyNumberFormat="1" applyBorder="1"/>
    <xf numFmtId="0" fontId="0" fillId="6" borderId="0" xfId="0" applyFill="1"/>
    <xf numFmtId="0" fontId="0" fillId="6" borderId="0" xfId="0" applyFill="1" applyAlignment="1">
      <alignment wrapText="1"/>
    </xf>
    <xf numFmtId="0" fontId="8" fillId="6" borderId="0" xfId="0" applyFont="1" applyFill="1" applyAlignment="1">
      <alignment wrapText="1"/>
    </xf>
    <xf numFmtId="2" fontId="5" fillId="7" borderId="0" xfId="0" applyNumberFormat="1" applyFont="1" applyFill="1"/>
    <xf numFmtId="0" fontId="6" fillId="6" borderId="0" xfId="0" applyFont="1" applyFill="1"/>
    <xf numFmtId="1" fontId="6" fillId="3" borderId="1" xfId="0" applyNumberFormat="1" applyFont="1" applyFill="1" applyBorder="1"/>
    <xf numFmtId="0" fontId="9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1" fillId="0" borderId="1" xfId="1" applyFont="1" applyBorder="1" applyAlignment="1">
      <alignment wrapText="1"/>
    </xf>
    <xf numFmtId="0" fontId="0" fillId="0" borderId="2" xfId="0" applyBorder="1"/>
    <xf numFmtId="0" fontId="0" fillId="0" borderId="0" xfId="0" applyAlignment="1">
      <alignment horizontal="center" wrapText="1"/>
    </xf>
    <xf numFmtId="0" fontId="21" fillId="0" borderId="1" xfId="0" applyFont="1" applyBorder="1" applyAlignment="1">
      <alignment horizontal="left" vertical="center"/>
    </xf>
    <xf numFmtId="0" fontId="19" fillId="3" borderId="1" xfId="1" applyFont="1" applyFill="1" applyBorder="1"/>
    <xf numFmtId="0" fontId="0" fillId="0" borderId="5" xfId="0" applyBorder="1"/>
    <xf numFmtId="49" fontId="19" fillId="0" borderId="1" xfId="1" applyNumberFormat="1" applyFont="1" applyBorder="1"/>
    <xf numFmtId="49" fontId="19" fillId="3" borderId="1" xfId="1" applyNumberFormat="1" applyFont="1" applyFill="1" applyBorder="1"/>
    <xf numFmtId="0" fontId="19" fillId="0" borderId="0" xfId="1" applyFont="1"/>
    <xf numFmtId="0" fontId="21" fillId="0" borderId="4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textRotation="90"/>
    </xf>
    <xf numFmtId="0" fontId="5" fillId="0" borderId="9" xfId="0" applyFont="1" applyBorder="1"/>
    <xf numFmtId="0" fontId="12" fillId="0" borderId="1" xfId="0" applyFont="1" applyBorder="1"/>
    <xf numFmtId="0" fontId="12" fillId="0" borderId="1" xfId="0" applyFont="1" applyBorder="1" applyAlignment="1">
      <alignment wrapText="1"/>
    </xf>
    <xf numFmtId="0" fontId="20" fillId="0" borderId="1" xfId="0" applyFont="1" applyBorder="1"/>
    <xf numFmtId="0" fontId="12" fillId="0" borderId="0" xfId="0" applyFont="1" applyAlignment="1">
      <alignment wrapText="1"/>
    </xf>
    <xf numFmtId="0" fontId="14" fillId="0" borderId="0" xfId="0" applyFont="1"/>
    <xf numFmtId="0" fontId="17" fillId="0" borderId="0" xfId="0" applyFont="1" applyAlignment="1">
      <alignment horizontal="center"/>
    </xf>
    <xf numFmtId="0" fontId="12" fillId="5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textRotation="90"/>
    </xf>
    <xf numFmtId="0" fontId="0" fillId="5" borderId="11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textRotation="90"/>
    </xf>
    <xf numFmtId="1" fontId="0" fillId="0" borderId="5" xfId="0" applyNumberFormat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1" xfId="1" applyBorder="1"/>
    <xf numFmtId="49" fontId="3" fillId="0" borderId="1" xfId="1" applyNumberFormat="1" applyBorder="1"/>
    <xf numFmtId="1" fontId="0" fillId="0" borderId="12" xfId="0" applyNumberFormat="1" applyBorder="1"/>
    <xf numFmtId="0" fontId="9" fillId="0" borderId="2" xfId="0" applyFont="1" applyBorder="1"/>
    <xf numFmtId="0" fontId="9" fillId="0" borderId="2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1" fontId="0" fillId="0" borderId="0" xfId="0" applyNumberFormat="1"/>
    <xf numFmtId="0" fontId="11" fillId="0" borderId="0" xfId="0" applyFont="1"/>
    <xf numFmtId="0" fontId="4" fillId="0" borderId="0" xfId="0" applyFont="1"/>
    <xf numFmtId="0" fontId="7" fillId="0" borderId="12" xfId="0" applyFont="1" applyBorder="1"/>
    <xf numFmtId="0" fontId="7" fillId="0" borderId="2" xfId="0" applyFont="1" applyBorder="1" applyAlignment="1">
      <alignment vertical="center"/>
    </xf>
    <xf numFmtId="0" fontId="0" fillId="0" borderId="0" xfId="0" applyAlignment="1">
      <alignment horizontal="center" vertical="center" textRotation="90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2" fillId="0" borderId="1" xfId="1" applyFont="1" applyBorder="1"/>
    <xf numFmtId="0" fontId="12" fillId="8" borderId="0" xfId="0" applyFont="1" applyFill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2" fillId="5" borderId="0" xfId="0" applyFont="1" applyFill="1" applyAlignment="1">
      <alignment horizontal="center" vertical="center" wrapText="1"/>
    </xf>
    <xf numFmtId="0" fontId="12" fillId="0" borderId="8" xfId="0" applyFont="1" applyBorder="1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12" fillId="0" borderId="0" xfId="0" applyFont="1" applyAlignment="1">
      <alignment horizontal="center"/>
    </xf>
  </cellXfs>
  <cellStyles count="2">
    <cellStyle name="Normal" xfId="0" builtinId="0"/>
    <cellStyle name="Normal 2" xfId="1" xr:uid="{9697BC38-9751-0040-84C2-1AA611D4BA3E}"/>
  </cellStyles>
  <dxfs count="32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fill>
        <patternFill patternType="solid">
          <fgColor rgb="FFC0C0C0"/>
          <bgColor rgb="FFD9D9D9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C0C0C0"/>
          <bgColor rgb="FFD9D9D9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numFmt numFmtId="0" formatCode="General"/>
      <fill>
        <patternFill patternType="none">
          <fgColor rgb="FF000000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numFmt numFmtId="0" formatCode="General"/>
      <fill>
        <patternFill patternType="none">
          <fgColor rgb="FF000000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numFmt numFmtId="0" formatCode="General"/>
      <fill>
        <patternFill patternType="none">
          <fgColor rgb="FF000000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numFmt numFmtId="0" formatCode="General"/>
      <fill>
        <patternFill patternType="none">
          <fgColor rgb="FF000000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numFmt numFmtId="0" formatCode="General"/>
      <fill>
        <patternFill patternType="none">
          <fgColor rgb="FF000000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numFmt numFmtId="0" formatCode="General"/>
      <fill>
        <patternFill patternType="none">
          <fgColor rgb="FF000000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numFmt numFmtId="0" formatCode="General"/>
      <fill>
        <patternFill patternType="none">
          <fgColor rgb="FF000000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numFmt numFmtId="0" formatCode="General"/>
      <fill>
        <patternFill patternType="none">
          <fgColor rgb="FF000000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indexed="65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charset val="1"/>
        <scheme val="none"/>
      </font>
      <fill>
        <patternFill patternType="none">
          <fgColor rgb="FF000000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  <fill>
        <patternFill patternType="solid">
          <fgColor theme="0" tint="-0.14999847407452621"/>
          <bgColor theme="0" tint="-0.14999847407452621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ptos Narrow (Cuerpo)"/>
        <scheme val="none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  <fill>
        <patternFill patternType="none">
          <fgColor indexed="64"/>
          <bgColor auto="1"/>
        </patternFill>
      </fill>
      <border outline="0">
        <right style="thin">
          <color auto="1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 outline="0"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border outline="0">
        <left style="thin">
          <color auto="1"/>
        </left>
      </border>
    </dxf>
    <dxf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theme="0" tint="-0.14999847407452621"/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theme="0" tint="-0.14999847407452621"/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auto="1"/>
        </left>
      </border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bgColor auto="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thin">
          <color auto="1"/>
        </left>
        <bottom style="thin">
          <color auto="1"/>
        </bottom>
      </border>
    </dxf>
    <dxf>
      <fill>
        <patternFill patternType="none">
          <bgColor auto="1"/>
        </patternFill>
      </fill>
      <protection locked="1" hidden="0"/>
    </dxf>
    <dxf>
      <fill>
        <patternFill patternType="none">
          <bgColor auto="1"/>
        </patternFill>
      </fill>
      <protection locked="1" hidden="0"/>
    </dxf>
    <dxf>
      <protection locked="1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1"/>
        <scheme val="none"/>
      </font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border outline="0">
        <top style="thin">
          <color theme="1"/>
        </top>
      </border>
    </dxf>
    <dxf>
      <protection locked="1" hidden="0"/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protection locked="1" hidden="0"/>
    </dxf>
    <dxf>
      <numFmt numFmtId="0" formatCode="General"/>
      <fill>
        <patternFill patternType="none">
          <bgColor auto="1"/>
        </patternFill>
      </fill>
      <protection locked="1" hidden="0"/>
    </dxf>
    <dxf>
      <numFmt numFmtId="0" formatCode="General"/>
      <fill>
        <patternFill patternType="none">
          <bgColor auto="1"/>
        </patternFill>
      </fill>
      <protection locked="1" hidden="0"/>
    </dxf>
    <dxf>
      <numFmt numFmtId="0" formatCode="General"/>
      <fill>
        <patternFill patternType="none">
          <bgColor auto="1"/>
        </patternFill>
      </fill>
      <protection locked="1" hidden="0"/>
    </dxf>
    <dxf>
      <numFmt numFmtId="0" formatCode="General"/>
      <fill>
        <patternFill patternType="none">
          <bgColor auto="1"/>
        </patternFill>
      </fill>
      <protection locked="1" hidden="0"/>
    </dxf>
    <dxf>
      <fill>
        <patternFill patternType="none">
          <bgColor auto="1"/>
        </patternFill>
      </fill>
      <protection locked="1" hidden="0"/>
    </dxf>
    <dxf>
      <fill>
        <patternFill patternType="none">
          <bgColor auto="1"/>
        </patternFill>
      </fill>
      <protection locked="1" hidden="0"/>
    </dxf>
    <dxf>
      <fill>
        <patternFill patternType="none">
          <bgColor auto="1"/>
        </patternFill>
      </fill>
      <protection locked="1" hidden="0"/>
    </dxf>
    <dxf>
      <fill>
        <patternFill patternType="none">
          <bgColor auto="1"/>
        </patternFill>
      </fill>
      <protection locked="1" hidden="0"/>
    </dxf>
    <dxf>
      <fill>
        <patternFill patternType="none">
          <bgColor auto="1"/>
        </patternFill>
      </fill>
      <protection locked="1" hidden="0"/>
    </dxf>
    <dxf>
      <fill>
        <patternFill patternType="none">
          <bgColor auto="1"/>
        </patternFill>
      </fill>
      <border outline="0">
        <left style="thin">
          <color auto="1"/>
        </left>
      </border>
      <protection locked="1" hidden="0"/>
    </dxf>
    <dxf>
      <fill>
        <patternFill patternType="none">
          <bgColor auto="1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bgColor auto="1"/>
        </patternFill>
      </fill>
      <border outline="0">
        <right style="thin">
          <color auto="1"/>
        </right>
      </border>
      <protection locked="1" hidden="0"/>
    </dxf>
    <dxf>
      <fill>
        <patternFill patternType="none">
          <bgColor auto="1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0"/>
    </dxf>
    <dxf>
      <numFmt numFmtId="0" formatCode="General"/>
      <fill>
        <patternFill patternType="none"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none"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none"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none"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none"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numFmt numFmtId="1" formatCode="0"/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" formatCode="0"/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" formatCode="0"/>
      <fill>
        <patternFill patternType="none">
          <bgColor auto="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protection locked="1" hidden="0"/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EC72F0-A197-0A43-9F64-D52AE63AD6AE}" name="TablaOrigen" displayName="TablaOrigen" ref="B7:M50" totalsRowShown="0" headerRowDxfId="321" dataDxfId="319" headerRowBorderDxfId="320" tableBorderDxfId="318" totalsRowBorderDxfId="317">
  <autoFilter ref="B7:M50" xr:uid="{A4EC72F0-A197-0A43-9F64-D52AE63AD6AE}"/>
  <sortState xmlns:xlrd2="http://schemas.microsoft.com/office/spreadsheetml/2017/richdata2" ref="B8:M50">
    <sortCondition ref="F7:F50"/>
  </sortState>
  <tableColumns count="12">
    <tableColumn id="10" xr3:uid="{79D02690-7582-454D-8AE1-8214756EDA38}" name="ID Modulo" dataDxfId="316"/>
    <tableColumn id="9" xr3:uid="{0617451E-A8A0-C546-9387-116CB8AC625C}" name="Módulo" dataDxfId="315"/>
    <tableColumn id="1" xr3:uid="{7C504137-DA5B-E64C-9D49-FB81BEE21833}" name="Cod. As." dataDxfId="314"/>
    <tableColumn id="2" xr3:uid="{749FB653-430D-1C48-BC88-B10DE9BC82EE}" name="Desc.Asignatura PLAN ACTUAL" dataDxfId="313"/>
    <tableColumn id="3" xr3:uid="{46C9492D-AD53-7849-B526-B20942A4CA9A}" name="Curso" dataDxfId="312"/>
    <tableColumn id="8" xr3:uid="{FFE9EA67-3518-B34D-A0C2-6FB9BA126151}" name="Cuatr." dataDxfId="311"/>
    <tableColumn id="4" xr3:uid="{F08BC233-7ACD-CA40-88A9-42A923E6D07B}" name="Ofertada" dataDxfId="310"/>
    <tableColumn id="5" xr3:uid="{CE08D44A-AED5-8840-9417-005D6D71BCC2}" name="Clase" dataDxfId="309"/>
    <tableColumn id="6" xr3:uid="{73C5E4DA-AC27-2349-B362-6E8D5EB861E5}" name="ECTS" dataDxfId="308"/>
    <tableColumn id="7" xr3:uid="{7282B4E0-FCB2-7345-8046-F20E5B17E143}" name="Asignatura Aprobada" dataDxfId="307"/>
    <tableColumn id="11" xr3:uid="{E2C55CBB-561E-5547-B7BF-B7D334FC417E}" name="Matriculado y Aprobado en 25/26" dataDxfId="306"/>
    <tableColumn id="12" xr3:uid="{DF097118-2981-7A4D-A96D-FABD11C9F9BE}" name="Asignatura a procesar?" dataDxfId="305">
      <calculatedColumnFormula>IF(OR(TablaOrigen[[#This Row],[Asignatura Aprobada]]="SI",TablaOrigen[[#This Row],[Matriculado y Aprobado en 25/26]]="SI"),"SI","NO")</calculatedColumnFormula>
    </tableColumn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1842DC4-B97F-954A-8759-6B4BDD87A948}" name="TablaCondicionesParticulares" displayName="TablaCondicionesParticulares" ref="C14:Y51" totalsRowShown="0" headerRowDxfId="67" dataDxfId="66" tableBorderDxfId="65">
  <autoFilter ref="C14:Y51" xr:uid="{04DD25F5-2684-CF46-B867-74639B91B0ED}"/>
  <sortState xmlns:xlrd2="http://schemas.microsoft.com/office/spreadsheetml/2017/richdata2" ref="C15:Y47">
    <sortCondition ref="D14:D47"/>
  </sortState>
  <tableColumns count="23">
    <tableColumn id="1" xr3:uid="{5885F0DF-36CE-3249-BF32-C30A47C11D22}" name="ID" dataDxfId="64"/>
    <tableColumn id="2" xr3:uid="{ED6A33CF-3A27-7645-A5FA-4FD50BFFA2ED}" name="Módulo" dataDxfId="63"/>
    <tableColumn id="3" xr3:uid="{A23D7739-6A1D-6F41-9CBE-56FB4726C502}" name="ID Asig" dataDxfId="62" dataCellStyle="Normal 2"/>
    <tableColumn id="4" xr3:uid="{7AF8063D-8042-6F4F-AA89-B8DE71A54A13}" name="Asignatura" dataDxfId="61">
      <calculatedColumnFormula>_xlfn.XLOOKUP(TablaAdaptacionporasignatura[[#This Row],[ID Asig]],TablaDestino[ID Asig],TablaDestino[Asignatura])</calculatedColumnFormula>
    </tableColumn>
    <tableColumn id="5" xr3:uid="{B301B4BC-7B37-8341-B1AA-DED8366250A0}" name="Curso" dataDxfId="60">
      <calculatedColumnFormula>_xlfn.XLOOKUP(TablaAdaptacionporasignatura[[#This Row],[ID Asig]],TablaDestino[ID Asig],TablaDestino[Curso])</calculatedColumnFormula>
    </tableColumn>
    <tableColumn id="6" xr3:uid="{1FDC8C8F-2757-FB4F-9185-85B33CED65D0}" name="Cuatrimestre" dataDxfId="59">
      <calculatedColumnFormula>_xlfn.XLOOKUP(TablaAdaptacionporasignatura[[#This Row],[ID Asig]],TablaDestino[ID Asig],TablaDestino[Cuatr])</calculatedColumnFormula>
    </tableColumn>
    <tableColumn id="7" xr3:uid="{514307B8-EBD4-B140-97D0-3142A6B586A1}" name="ECTS" dataDxfId="58">
      <calculatedColumnFormula>_xlfn.XLOOKUP(TablaAdaptacionporasignatura[[#This Row],[ID Asig]],TablaDestino[ID Asig],TablaDestino[ECTS],"")</calculatedColumnFormula>
    </tableColumn>
    <tableColumn id="8" xr3:uid="{F01AF304-8978-9942-8BE2-866CB171EA18}" name="Tipo" dataDxfId="57">
      <calculatedColumnFormula>_xlfn.XLOOKUP(TablaAdaptacionporasignatura[[#This Row],[ID Asig]],TablaDestino[ID Asig],TablaDestino[Tipo],"")</calculatedColumnFormula>
    </tableColumn>
    <tableColumn id="74" xr3:uid="{E215E498-18EC-2F40-AD29-A8BAD7FDD2D5}" name="Asignaturas Adaptadas si Condicion 1" dataDxfId="56"/>
    <tableColumn id="75" xr3:uid="{9D44C6B9-ED9F-F746-8D55-84E8656F6AC1}" name="Asignaturas Adaptadas si Condicion 2" dataDxfId="55"/>
    <tableColumn id="76" xr3:uid="{41EFD796-9D4D-7245-9C5B-116C671041AB}" name="Asignaturas Adaptadas si Condicion 3" dataDxfId="54"/>
    <tableColumn id="83" xr3:uid="{63249EA2-5089-0149-BCD5-0D5E1BD2AF6D}" name="Asignaturas Adaptadas si Condicion 4" dataDxfId="53"/>
    <tableColumn id="82" xr3:uid="{96D9E36A-4AD4-0E4E-909A-A5F23DA450B9}" name="Asignaturas Adaptadas si Condicion 5" dataDxfId="52"/>
    <tableColumn id="81" xr3:uid="{8D2A9E8F-F0A8-F143-B75A-1B32AE168081}" name="Asignaturas Adaptadas si Condicion 6" dataDxfId="51"/>
    <tableColumn id="80" xr3:uid="{169FFF0D-9397-AD46-84B9-69228A1A216E}" name="Asignaturas Adaptadas si Condicion 7" dataDxfId="50"/>
    <tableColumn id="77" xr3:uid="{7897D248-6F77-5341-85A1-0555FE4DCF29}" name="Adaptada por Condición 1" dataDxfId="49">
      <calculatedColumnFormula>AND(Tabla11[Cumple condición?],TablaCondicionesParticulares[[#This Row],[Asignaturas Adaptadas si Condicion 1]]="X")</calculatedColumnFormula>
    </tableColumn>
    <tableColumn id="78" xr3:uid="{75A2A7A4-598C-1041-B44F-749DE930BA3B}" name="Adaptada por Condición 2" dataDxfId="48">
      <calculatedColumnFormula>AND(Tabla1113[Cumple condición?],TablaCondicionesParticulares[[#This Row],[Asignaturas Adaptadas si Condicion 2]]="X")</calculatedColumnFormula>
    </tableColumn>
    <tableColumn id="79" xr3:uid="{4ABE741E-E777-6546-841F-1373A055AA2E}" name="Adaptada por Condición 3" dataDxfId="47">
      <calculatedColumnFormula>AND(Tabla111314[Cumple condición?],TablaCondicionesParticulares[[#This Row],[Asignaturas Adaptadas si Condicion 3]]="X")</calculatedColumnFormula>
    </tableColumn>
    <tableColumn id="84" xr3:uid="{FE1C15A7-061B-8048-96FA-7656D78B1664}" name="Adaptada por Condición 4" dataDxfId="46"/>
    <tableColumn id="85" xr3:uid="{9E53E624-8AD4-C44B-A9CA-F5F5CB1ACAE9}" name="Adaptada por Condición 5" dataDxfId="45"/>
    <tableColumn id="86" xr3:uid="{7BFF0BD2-D3AE-FF4E-B32B-26BCD753D98D}" name="Adaptada por Condición 6" dataDxfId="44"/>
    <tableColumn id="87" xr3:uid="{D69CE9FB-09CC-AB4A-84A8-FD91F3F06482}" name="Adaptada por Condición 7" dataDxfId="43"/>
    <tableColumn id="88" xr3:uid="{E90C087A-0103-A84F-ADAD-D0AA02DDA6D5}" name="Adaptada por condiciones particulares?" dataDxfId="42">
      <calculatedColumnFormula>IF(OR(TablaCondicionesParticulares[[#This Row],[Adaptada por Condición 1]:[Adaptada por Condición 7]]),"SI","NO")</calculatedColumnFormula>
    </tableColumn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6C99DC2-CDBC-054C-91F0-8F4B62B8A802}" name="Tabla11" displayName="Tabla11" ref="D56:E57" totalsRowShown="0" headerRowDxfId="41" headerRowBorderDxfId="40" tableBorderDxfId="39" totalsRowBorderDxfId="38">
  <autoFilter ref="D56:E57" xr:uid="{C6C99DC2-CDBC-054C-91F0-8F4B62B8A802}"/>
  <tableColumns count="2">
    <tableColumn id="4" xr3:uid="{1DF52E30-A409-294F-A850-FBA340FE66DB}" name="ECTS 1 y 2" dataDxfId="37">
      <calculatedColumnFormula>SUMIFS(TablaOrigen[ECTS],TablaOrigen[Curso],1,TablaOrigen[Asignatura a procesar?],"SI")+SUMIFS(TablaOrigen[ECTS],TablaOrigen[Curso],2,TablaOrigen[Asignatura a procesar?],"SI")</calculatedColumnFormula>
    </tableColumn>
    <tableColumn id="3" xr3:uid="{58EF0665-E4FB-B847-939E-A467B7105372}" name="Cumple condición?">
      <calculatedColumnFormula>Tabla11[[#This Row],[ECTS 1 y 2]]&gt;=90</calculatedColumnFormula>
    </tableColumn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6F1EA4D-1D26-7D46-BC82-2EE9ACE989B9}" name="Tabla1113" displayName="Tabla1113" ref="D63:E64" totalsRowShown="0" headerRowDxfId="36" headerRowBorderDxfId="35" tableBorderDxfId="34" totalsRowBorderDxfId="33">
  <autoFilter ref="D63:E64" xr:uid="{76F1EA4D-1D26-7D46-BC82-2EE9ACE989B9}"/>
  <tableColumns count="2">
    <tableColumn id="1" xr3:uid="{FA4A8588-F75D-3B40-B3A8-D248106A2D56}" name="ECTS 3" dataDxfId="32">
      <calculatedColumnFormula>SUMIFS(TablaOrigen[ECTS],TablaOrigen[Curso],3,TablaOrigen[Asignatura a procesar?],"SI")</calculatedColumnFormula>
    </tableColumn>
    <tableColumn id="3" xr3:uid="{8FA10B34-605F-F942-8970-37034CBD6995}" name="Cumple condición?">
      <calculatedColumnFormula>Tabla1113[[#This Row],[ECTS 3]]&gt;=60</calculatedColumnFormula>
    </tableColumn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1D3E2515-DADC-C747-9C25-3BDC6535DC09}" name="Tabla111314" displayName="Tabla111314" ref="D69:H70" totalsRowShown="0" headerRowDxfId="31" headerRowBorderDxfId="30" tableBorderDxfId="29" totalsRowBorderDxfId="28">
  <autoFilter ref="D69:H70" xr:uid="{1D3E2515-DADC-C747-9C25-3BDC6535DC09}"/>
  <tableColumns count="5">
    <tableColumn id="1" xr3:uid="{A568401D-CA4C-654B-A618-6B2087C9BC79}" name="ECTS Superados en Origen" dataDxfId="27"/>
    <tableColumn id="4" xr3:uid="{8D5ABF06-CC4E-EE44-A048-3734150C0948}" name="ECTS 1 y 2" dataDxfId="26">
      <calculatedColumnFormula>SUMIFS(TablaOrigen[ECTS],TablaOrigen[Curso],1,TablaOrigen[Asignatura a procesar?],"SI")+SUMIFS(TablaOrigen[ECTS],TablaOrigen[Curso],2,TablaOrigen[Asignatura a procesar?],"SI")</calculatedColumnFormula>
    </tableColumn>
    <tableColumn id="6" xr3:uid="{60E3450D-A00F-FD4A-AD66-80EE8D663666}" name="Asignaturas especialidad" dataDxfId="25">
      <calculatedColumnFormula>SUMIFS(TablaOrigen[ECTS],TablaOrigen[Curso],3,TablaOrigen[Ofertada],Tabla111314[[#This Row],[Especialidad]],TablaOrigen[Asignatura a procesar?],"SI")</calculatedColumnFormula>
    </tableColumn>
    <tableColumn id="2" xr3:uid="{0F118439-A5C3-6046-8CC4-65AB2BB206BF}" name="Especialidad" dataDxfId="24"/>
    <tableColumn id="3" xr3:uid="{564CEF04-B1F1-4F48-A387-668425EE97D8}" name="Cumple condición?">
      <calculatedColumnFormula>AND(Tabla111314[[#This Row],[ECTS Superados en Origen]]&gt;=168,Tabla111314[[#This Row],[ECTS 1 y 2]]=120,Tabla111314[[#This Row],[Especialidad]]=Simulador!E3)</calculatedColumnFormula>
    </tableColumn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CCCCC08-5096-6B4B-B57E-F4A55764C7FC}" name="Tabla1116" displayName="Tabla1116" ref="D76:F77" totalsRowShown="0" headerRowDxfId="23" headerRowBorderDxfId="22" tableBorderDxfId="21" totalsRowBorderDxfId="20">
  <autoFilter ref="D76:F77" xr:uid="{5CCCCC08-5096-6B4B-B57E-F4A55764C7FC}"/>
  <tableColumns count="3">
    <tableColumn id="1" xr3:uid="{E62D7A7F-189E-0C44-AA66-A0105E6EF059}" name="??" dataDxfId="19"/>
    <tableColumn id="2" xr3:uid="{DDD49CFF-7604-D24A-811A-29EA9B8A06C3}" name="??2" dataDxfId="18"/>
    <tableColumn id="3" xr3:uid="{CE16CC7B-626C-214A-85F9-62BD14C94CC8}" name="Cumple condición?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72B39BD-D63D-0D4A-8D64-4A1ED11B04B0}" name="Tabla111317" displayName="Tabla111317" ref="D83:F84" totalsRowShown="0" headerRowDxfId="17" headerRowBorderDxfId="16" tableBorderDxfId="15" totalsRowBorderDxfId="14">
  <autoFilter ref="D83:F84" xr:uid="{572B39BD-D63D-0D4A-8D64-4A1ED11B04B0}"/>
  <tableColumns count="3">
    <tableColumn id="1" xr3:uid="{07A82154-4E74-4442-9BC3-1399188DD8AC}" name="??" dataDxfId="13"/>
    <tableColumn id="2" xr3:uid="{CD8BEA42-0995-5549-B0C0-3D7DB04D7EB7}" name="??2" dataDxfId="12"/>
    <tableColumn id="3" xr3:uid="{BDA42AF0-9DD3-6B4E-9CE6-FE18F86BAA89}" name="Cumple condición?" dataDxfId="11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A9DC029-8FC1-0646-A031-F3976C1AB8F6}" name="Tabla11131418" displayName="Tabla11131418" ref="D89:F90" totalsRowShown="0" headerRowDxfId="10" headerRowBorderDxfId="9" tableBorderDxfId="8" totalsRowBorderDxfId="7">
  <autoFilter ref="D89:F90" xr:uid="{AA9DC029-8FC1-0646-A031-F3976C1AB8F6}"/>
  <tableColumns count="3">
    <tableColumn id="1" xr3:uid="{21C0D1FD-FF22-4C46-8D96-3AD83164EA63}" name="??" dataDxfId="6"/>
    <tableColumn id="2" xr3:uid="{31A6793B-E71B-BA49-82C7-3503AE68517A}" name="??2" dataDxfId="5"/>
    <tableColumn id="3" xr3:uid="{3B49EC56-5F94-F646-9BBE-F8F0401DC98D}" name="Cumple condición?" dataDxfId="4"/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A5332B6-D70B-434E-99C8-29CEE987FBA5}" name="TablaAdaptacionOptativas" displayName="TablaAdaptacionOptativas" ref="B5:H9" totalsRowShown="0">
  <autoFilter ref="B5:H9" xr:uid="{DA5332B6-D70B-434E-99C8-29CEE987FBA5}"/>
  <tableColumns count="7">
    <tableColumn id="11" xr3:uid="{3E09F392-18AB-1B42-96F8-1C19F1A7F265}" name="Codigo Asignatura"/>
    <tableColumn id="6" xr3:uid="{A3A7A502-938A-5E4E-9405-0C3A63973367}" name="ECTS  Superados en Origen">
      <calculatedColumnFormula>SUMIFS(TablaOrigen[ECTS],TablaOrigen[Asignatura a procesar?],"SI")</calculatedColumnFormula>
    </tableColumn>
    <tableColumn id="7" xr3:uid="{A36636E6-6C58-CF42-9367-C8FA097234D8}" name="ECTS En Destino">
      <calculatedColumnFormula>SUMIFS(TablaAdaptacionporasignatura[ECTS],TablaAdaptacionporasignatura[Asignatura Adaptada?],"SI")</calculatedColumnFormula>
    </tableColumn>
    <tableColumn id="1" xr3:uid="{161D0002-45FD-0B4B-9AF4-530AAD6411A9}" name="ECTS Optativos ya adaptados">
      <calculatedColumnFormula>SUMIFS(TablaAdaptacionporasignatura[ECTS],TablaAdaptacionporasignatura[ID Modulo],"M4",TablaAdaptacionporasignatura[Asignatura Adaptada?],"SI")</calculatedColumnFormula>
    </tableColumn>
    <tableColumn id="2" xr3:uid="{91EDE844-6896-834C-B8A5-94D8597665F4}" name="Optativas restantes">
      <calculatedColumnFormula>ROUND((24-TablaAdaptacionOptativas[[#This Row],[ECTS Optativos ya adaptados]])/6,0)</calculatedColumnFormula>
    </tableColumn>
    <tableColumn id="12" xr3:uid="{65039567-2859-8B4A-9576-EF8218C21A75}" name="Optativas plausibles">
      <calculatedColumnFormula>MIN(TablaAdaptacionOptativas[[#This Row],[Optativas restantes]],ROUND((TablaAdaptacionOptativas[[#This Row],[ECTS  Superados en Origen]]-TablaAdaptacionOptativas[[#This Row],[ECTS En Destino]])/6,0))</calculatedColumnFormula>
    </tableColumn>
    <tableColumn id="8" xr3:uid="{A99D41FA-4BA0-B04D-BABE-D7AC90D46DEC}" name="Opt1">
      <calculatedColumnFormula>IF(AND(TablaAdaptacionOptativas[[#This Row],[Codigo Asignatura]]="Opt1",TablaAdaptacionOptativas[[#This Row],[Optativas plausibles]]&gt;=3),"SI",
IF(AND(TablaAdaptacionOptativas[[#This Row],[Codigo Asignatura]]="Opt2",TablaAdaptacionOptativas[[#This Row],[Optativas plausibles]]&gt;=9),"SI",
IF(AND(TablaAdaptacionOptativas[[#This Row],[Codigo Asignatura]]="Opt3",TablaAdaptacionOptativas[[#This Row],[Optativas plausibles]]&gt;=15),"SI",
IF(AND(TablaAdaptacionOptativas[[#This Row],[Codigo Asignatura]]="Opt4",TablaAdaptacionOptativas[[#This Row],[Optativas plausibles]]&gt;=21),"SI",
"NO"))))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3F9205A-D47F-584F-9D36-E3D96AE9B21B}" name="TablaDestino" displayName="TablaDestino" ref="O7:Z47" totalsRowShown="0" headerRowDxfId="304" dataDxfId="303">
  <autoFilter ref="O7:Z47" xr:uid="{B3F9205A-D47F-584F-9D36-E3D96AE9B21B}"/>
  <sortState xmlns:xlrd2="http://schemas.microsoft.com/office/spreadsheetml/2017/richdata2" ref="O8:Z47">
    <sortCondition ref="S7:S47"/>
  </sortState>
  <tableColumns count="12">
    <tableColumn id="16" xr3:uid="{E90EC323-E025-FD45-8835-8257870657E8}" name="ID Modulo" dataDxfId="302"/>
    <tableColumn id="1" xr3:uid="{4C3120C4-CD29-6448-B28F-9E82EEF51CB4}" name="Módulo" dataDxfId="301"/>
    <tableColumn id="2" xr3:uid="{9EC2C363-BBA1-AC4F-BE9A-52338687DD78}" name="ID Asig" dataDxfId="300"/>
    <tableColumn id="3" xr3:uid="{994AF15E-7784-9E46-88F7-06B6804EB114}" name="Asignatura" dataDxfId="299"/>
    <tableColumn id="4" xr3:uid="{36879BCC-3080-A84B-A692-50391455A2C9}" name="Curso" dataDxfId="298"/>
    <tableColumn id="5" xr3:uid="{5365C480-FB0D-5F46-AD90-D457D87CBDC4}" name="Cuatr" dataDxfId="297"/>
    <tableColumn id="6" xr3:uid="{3BA6A2DD-58CA-1144-B319-FF6DB33AF2B7}" name="ECTS" dataDxfId="296"/>
    <tableColumn id="7" xr3:uid="{99753823-B515-AE4C-B9F7-A04E682C2D4D}" name="Tipo" dataDxfId="295"/>
    <tableColumn id="15" xr3:uid="{C3BE6729-EF8C-764A-AF8C-C47BABF4DBFE}" name="Adaptada por Asignaturas?" dataDxfId="294">
      <calculatedColumnFormula>_xlfn.XLOOKUP(TablaDestino[[#This Row],[ID Asig]],TablaAdaptacionporasignatura[ID Asig],TablaAdaptacionporasignatura[Asignatura Adaptada?],"error")</calculatedColumnFormula>
    </tableColumn>
    <tableColumn id="17" xr3:uid="{364B10CD-4C3A-9345-8B66-0E379E88C327}" name="Adaptada por Módulo?" dataDxfId="293">
      <calculatedColumnFormula>_xlfn.XLOOKUP(TablaDestino[[#This Row],[ID Modulo]],TablaModulosAdaptados[ID Modulo],TablaModulosAdaptados[Módulo Destino Adaptado?])</calculatedColumnFormula>
    </tableColumn>
    <tableColumn id="18" xr3:uid="{9BF182BF-CFD8-184A-9724-8701F338EF0A}" name="Adaptada por Cond. Particulares?" dataDxfId="292">
      <calculatedColumnFormula>_xlfn.XLOOKUP(TablaDestino[[#This Row],[ID Asig]],TablaCondicionesParticulares[ID Asig],TablaCondicionesParticulares[Adaptada por condiciones particulares?])</calculatedColumnFormula>
    </tableColumn>
    <tableColumn id="19" xr3:uid="{D0CAB3B0-E6B4-0E4C-8171-887F229E5EB5}" name="Adaptada" dataDxfId="291">
      <calculatedColumnFormula>IF(OR(TablaDestino[[#This Row],[Adaptada por Asignaturas?]]="SI",TablaDestino[[#This Row],[Adaptada por Módulo?]]="SI",TablaDestino[[#This Row],[Adaptada por Cond. Particulares?]]="SI"),"SI","NO")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BDEF1B3-9D21-FD4B-9A1A-19B145935080}" name="TablaDestinoOptativas" displayName="TablaDestinoOptativas" ref="O54:Z58" totalsRowShown="0" headerRowDxfId="290" dataDxfId="288" headerRowBorderDxfId="289" tableBorderDxfId="287">
  <autoFilter ref="O54:Z58" xr:uid="{2BDEF1B3-9D21-FD4B-9A1A-19B145935080}"/>
  <tableColumns count="12">
    <tableColumn id="1" xr3:uid="{47205B83-24EA-AE44-9DF9-72E8C6F31B7B}" name="ID Modulo" dataDxfId="286"/>
    <tableColumn id="2" xr3:uid="{D96CFEE2-6A40-E245-99CA-042B2299948B}" name="Módulo" dataDxfId="285"/>
    <tableColumn id="3" xr3:uid="{B5697D7F-9E1E-7A4C-B3E1-F76938AE2744}" name="ID Asig" dataDxfId="284"/>
    <tableColumn id="4" xr3:uid="{B94C522C-4077-B34B-8CDB-3286CAA7B9AC}" name="Asignatura" dataDxfId="283"/>
    <tableColumn id="5" xr3:uid="{5AEE1EF8-5FC9-FB42-BD92-E4AF0F8155A3}" name="Curso" dataDxfId="282"/>
    <tableColumn id="6" xr3:uid="{E1F7FA0B-4F87-5946-B34C-85818511AC2C}" name="Cuatrimestre" dataDxfId="281"/>
    <tableColumn id="7" xr3:uid="{3D7EF27C-4A4F-844E-BC5C-87F94E2674EF}" name="ECTS" dataDxfId="280"/>
    <tableColumn id="8" xr3:uid="{37D1E8AF-7575-1649-B77C-F527FDFCC9F9}" name="Tipo" dataDxfId="279"/>
    <tableColumn id="10" xr3:uid="{C2AF7B49-4992-3745-AA92-B3B505834540}" name="N/A" dataDxfId="278"/>
    <tableColumn id="11" xr3:uid="{24DC027C-BFFF-8648-8F52-223B9078D5DD}" name="Adaptada por Optativa?" dataDxfId="277">
      <calculatedColumnFormula>_xlfn.XLOOKUP(TablaDestinoOptativas[[#This Row],[ID Asig]],TablaAdaptacionOptativas[Codigo Asignatura],TablaAdaptacionOptativas[Opt1],"NO")</calculatedColumnFormula>
    </tableColumn>
    <tableColumn id="12" xr3:uid="{53319329-73F9-5D42-B2C4-0A2A08DFA8E3}" name="Adaptada por Cond. Particulares?" dataDxfId="276">
      <calculatedColumnFormula>_xlfn.XLOOKUP(TablaDestinoOptativas[[#This Row],[ID Asig]],TablaCondicionesParticulares[ID Asig],TablaCondicionesParticulares[Adaptada por condiciones particulares?])</calculatedColumnFormula>
    </tableColumn>
    <tableColumn id="14" xr3:uid="{4F94370D-044D-B346-B6C8-A09873129EF9}" name="Adaptada" dataDxfId="275">
      <calculatedColumnFormula>IF(OR(TablaDestinoOptativas[[#This Row],[Adaptada por Optativa?]]="SI",TablaDestinoOptativas[[#This Row],[Adaptada por Cond. Particulares?]]="SI"),"SI","NO")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4E04F42-24A3-4344-953C-CB9D1D7DAA8A}" name="Tabla2" displayName="Tabla2" ref="D53:F63" totalsRowShown="0" headerRowDxfId="274" dataDxfId="273" tableBorderDxfId="272">
  <autoFilter ref="D53:F63" xr:uid="{54E04F42-24A3-4344-953C-CB9D1D7DAA8A}"/>
  <tableColumns count="3">
    <tableColumn id="1" xr3:uid="{10CDBDA1-29BC-BC44-A5C8-042FC63DD0C3}" name="Código" dataDxfId="271"/>
    <tableColumn id="2" xr3:uid="{5260624D-6EE0-3047-AB20-599835C62ED1}" name="Certificado de Sufgiciencia Marítima (Plan Actual)" dataDxfId="270"/>
    <tableColumn id="3" xr3:uid="{32DC8C2D-F666-134C-A459-25A554C7367C}" name="Aprobado?" dataDxfId="269">
      <calculatedColumnFormula>_xlfn.XLOOKUP(Tabla2[[#This Row],[Código]],Tabla1[Código],Tabla1[Aprobado?])</calculatedColumn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88FB06B-0D43-F649-B3C0-013D9D540314}" name="Tabla1" displayName="Tabla1" ref="B8:T18" totalsRowShown="0" tableBorderDxfId="268">
  <autoFilter ref="B8:T18" xr:uid="{C88FB06B-0D43-F649-B3C0-013D9D540314}"/>
  <tableColumns count="19">
    <tableColumn id="1" xr3:uid="{CA08B765-A3E1-0144-9B8A-A456DD14FAD5}" name="Código" dataDxfId="267"/>
    <tableColumn id="2" xr3:uid="{E9CAA8C1-75C0-E44E-AF26-5FCD8075979B}" name="Certificado" dataDxfId="266"/>
    <tableColumn id="3" xr3:uid="{87BC73BE-65F8-5A48-9035-441EE0692D97}" name="Asignatura 1" dataDxfId="265" dataCellStyle="Normal 2"/>
    <tableColumn id="4" xr3:uid="{AEBCEC86-D414-2B41-BD5C-5D0A34F5B6ED}" name="Asignatura 2" dataDxfId="264" dataCellStyle="Normal 2"/>
    <tableColumn id="5" xr3:uid="{6B6E70D0-7AE3-664A-A4A7-AE15CE856BF4}" name="Asignatura 3" dataDxfId="263" dataCellStyle="Normal 2"/>
    <tableColumn id="6" xr3:uid="{BD2C3DEA-5C2F-E54E-9E0B-6DFB7C2C7861}" name="Asignatura 4" dataDxfId="262" dataCellStyle="Normal 2"/>
    <tableColumn id="7" xr3:uid="{3DA31E57-791B-5346-B828-05DD1E052E5A}" name="Asignatura 5" dataDxfId="261" dataCellStyle="Normal 2"/>
    <tableColumn id="8" xr3:uid="{3E422F08-3D68-7441-8E36-7384801A24BE}" name="Den. Asignatura 1">
      <calculatedColumnFormula>_xlfn.XLOOKUP(Tabla1[[#This Row],[Asignatura 1]],TablaOrigen[Cod. As.],TablaOrigen[Desc.Asignatura PLAN ACTUAL],"")</calculatedColumnFormula>
    </tableColumn>
    <tableColumn id="9" xr3:uid="{284709C0-9AFD-DD4B-86FD-B51543915B5F}" name="Den. Asignatura 2">
      <calculatedColumnFormula>_xlfn.XLOOKUP(Tabla1[[#This Row],[Asignatura 2]],TablaOrigen[Cod. As.],TablaOrigen[Desc.Asignatura PLAN ACTUAL],"")</calculatedColumnFormula>
    </tableColumn>
    <tableColumn id="10" xr3:uid="{033210E2-9B73-D242-AE7D-3C62E5AF8544}" name="Den. Asignatura 3">
      <calculatedColumnFormula>_xlfn.XLOOKUP(Tabla1[[#This Row],[Asignatura 2]],TablaOrigen[Cod. As.],TablaOrigen[Desc.Asignatura PLAN ACTUAL],"")</calculatedColumnFormula>
    </tableColumn>
    <tableColumn id="11" xr3:uid="{044C5001-F3E5-1340-921E-1F11EF50058B}" name="Den. Asignatura 4">
      <calculatedColumnFormula>_xlfn.XLOOKUP(Tabla1[[#This Row],[Asignatura 4]],TablaOrigen[Cod. As.],TablaOrigen[Desc.Asignatura PLAN ACTUAL],"")</calculatedColumnFormula>
    </tableColumn>
    <tableColumn id="12" xr3:uid="{92B5147E-2FEF-374B-A0A1-55FEECC8E345}" name="Den. Asignatura 5">
      <calculatedColumnFormula>_xlfn.XLOOKUP(Tabla1[[#This Row],[Asignatura 5]],TablaOrigen[Cod. As.],TablaOrigen[Desc.Asignatura PLAN ACTUAL],"")</calculatedColumnFormula>
    </tableColumn>
    <tableColumn id="19" xr3:uid="{AC953059-4FD4-5340-9D9F-BB11F439B523}" name="Número asignaturas">
      <calculatedColumnFormula>5-COUNTBLANK(Tabla1[[#This Row],[Asignatura 1]:[Asignatura 5]])</calculatedColumnFormula>
    </tableColumn>
    <tableColumn id="13" xr3:uid="{4E11D3A5-2054-914B-AB62-7B21B187C576}" name="Aprobada Asignatura 1">
      <calculatedColumnFormula>_xlfn.XLOOKUP(Tabla1[[#This Row],[Asignatura 1]],TablaOrigen[Cod. As.],TablaOrigen[Asignatura a procesar?],"")</calculatedColumnFormula>
    </tableColumn>
    <tableColumn id="14" xr3:uid="{2D5BDADA-55CE-A540-990C-D70F3A60BEDF}" name="Aprobada Asignatura 2">
      <calculatedColumnFormula>_xlfn.XLOOKUP(Tabla1[[#This Row],[Asignatura 2]],TablaOrigen[Cod. As.],TablaOrigen[Asignatura a procesar?],"")</calculatedColumnFormula>
    </tableColumn>
    <tableColumn id="15" xr3:uid="{44DDB557-6E29-8A40-802E-D1BF7DB2FA73}" name="Aprobada Asignatura 3">
      <calculatedColumnFormula>_xlfn.XLOOKUP(Tabla1[[#This Row],[Asignatura 3]],TablaOrigen[Cod. As.],TablaOrigen[Asignatura a procesar?],"")</calculatedColumnFormula>
    </tableColumn>
    <tableColumn id="16" xr3:uid="{A9960528-D5B6-6143-B49C-88BC37E06669}" name="Aprobada Asignatura 4">
      <calculatedColumnFormula>_xlfn.XLOOKUP(Tabla1[[#This Row],[Asignatura 4]],TablaOrigen[Cod. As.],TablaOrigen[Asignatura a procesar?],"")</calculatedColumnFormula>
    </tableColumn>
    <tableColumn id="17" xr3:uid="{98E7BBDE-4B78-B442-B663-565E2756D6D9}" name="Aprobada Asignatura 5">
      <calculatedColumnFormula>_xlfn.XLOOKUP(Tabla1[[#This Row],[Asignatura 5]],TablaOrigen[Cod. As.],TablaOrigen[Asignatura a procesar?],"")</calculatedColumnFormula>
    </tableColumn>
    <tableColumn id="18" xr3:uid="{51451CFC-42D8-9E42-B8BA-96B5F6281730}" name="Aprobado?">
      <calculatedColumnFormula>IF(COUNTIFS(Tabla1[[#This Row],[Aprobada Asignatura 1]:[Aprobada Asignatura 5]],"SI")=Tabla1[[#This Row],[Número asignaturas]],"SI","NO")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3C08233-D19A-B04E-9075-9B418F597211}" name="Tabla15" displayName="Tabla15" ref="B23:T33" totalsRowShown="0" tableBorderDxfId="260">
  <autoFilter ref="B23:T33" xr:uid="{E3C08233-D19A-B04E-9075-9B418F597211}"/>
  <tableColumns count="19">
    <tableColumn id="1" xr3:uid="{78316358-1537-7F40-9CC9-373529113E06}" name="Código" dataDxfId="259"/>
    <tableColumn id="2" xr3:uid="{24326256-3095-624F-805D-D50AF16C3E70}" name="Certificado" dataDxfId="258"/>
    <tableColumn id="3" xr3:uid="{2CA4EE7B-C778-AB44-838A-A46A8F30E954}" name="Asignatura 1" dataDxfId="257" dataCellStyle="Normal 2"/>
    <tableColumn id="4" xr3:uid="{4F59F2A3-AAAA-A44E-8C93-E74F372F4F9A}" name="Asignatura 2" dataDxfId="256" dataCellStyle="Normal 2"/>
    <tableColumn id="5" xr3:uid="{18DD314C-A61B-0E49-BC46-5B2AC34AAEC5}" name="Asignatura 3" dataDxfId="255" dataCellStyle="Normal 2"/>
    <tableColumn id="6" xr3:uid="{C92C2D37-C1DF-1447-BF07-DAFD864E9636}" name="Asignatura 4" dataDxfId="254" dataCellStyle="Normal 2"/>
    <tableColumn id="7" xr3:uid="{E2C96DD8-DDC4-E547-9641-202532C1E432}" name="Asignatura 5" dataDxfId="253" dataCellStyle="Normal 2"/>
    <tableColumn id="8" xr3:uid="{9151072B-C94F-0448-9F8E-113A36749DE9}" name="Den. Asignatura 1" dataDxfId="252">
      <calculatedColumnFormula>_xlfn.XLOOKUP(Tabla15[[#This Row],[Asignatura 1]],TablaDestino[ID Asig],TablaDestino[Asignatura],"")</calculatedColumnFormula>
    </tableColumn>
    <tableColumn id="9" xr3:uid="{35FFDAC8-77B9-894C-88E9-81F4B9D968BF}" name="Den. Asignatura 2" dataDxfId="251">
      <calculatedColumnFormula>_xlfn.XLOOKUP(Tabla15[[#This Row],[Asignatura 2]],TablaDestino[ID Asig],TablaDestino[Asignatura],"")</calculatedColumnFormula>
    </tableColumn>
    <tableColumn id="10" xr3:uid="{BC11F1CC-4155-F74D-94CC-163AA4476636}" name="Den. Asignatura 3" dataDxfId="250">
      <calculatedColumnFormula>_xlfn.XLOOKUP(Tabla15[[#This Row],[Asignatura 3]],TablaDestino[ID Asig],TablaDestino[Asignatura],"")</calculatedColumnFormula>
    </tableColumn>
    <tableColumn id="11" xr3:uid="{3022DF55-3CA0-3949-8D89-A663E25EEC85}" name="Den. Asignatura 4" dataDxfId="249">
      <calculatedColumnFormula>_xlfn.XLOOKUP(Tabla15[[#This Row],[Asignatura 4]],TablaDestino[ID Asig],TablaDestino[Asignatura],"")</calculatedColumnFormula>
    </tableColumn>
    <tableColumn id="12" xr3:uid="{C80AF95D-CB9C-CF45-A807-ADD6082C7990}" name="Den. Asignatura 5" dataDxfId="248">
      <calculatedColumnFormula>_xlfn.XLOOKUP(Tabla15[[#This Row],[Asignatura 5]],TablaDestino[ID Asig],TablaDestino[Asignatura],"")</calculatedColumnFormula>
    </tableColumn>
    <tableColumn id="19" xr3:uid="{2C091FAE-C2CE-DE40-96AB-2503AB981AA7}" name="Número asignaturas" dataDxfId="247">
      <calculatedColumnFormula>5-COUNTBLANK(Tabla15[[#This Row],[Asignatura 1]:[Asignatura 5]])</calculatedColumnFormula>
    </tableColumn>
    <tableColumn id="13" xr3:uid="{08664B18-7CA2-944F-8623-870341970B2F}" name="Aprobada Asignatura 1" dataDxfId="246">
      <calculatedColumnFormula>_xlfn.XLOOKUP(Tabla15[[#This Row],[Asignatura 1]],TablaDestino[ID Asig],TablaDestino[Adaptada],"")</calculatedColumnFormula>
    </tableColumn>
    <tableColumn id="14" xr3:uid="{D16E12FF-5B63-2246-982F-31FDA253F638}" name="Aprobada Asignatura 2">
      <calculatedColumnFormula>_xlfn.XLOOKUP(Tabla15[[#This Row],[Asignatura 2]],TablaDestino[ID Asig],TablaDestino[Adaptada],"")</calculatedColumnFormula>
    </tableColumn>
    <tableColumn id="15" xr3:uid="{178EE892-6A69-A147-8097-BB327F89ABAA}" name="Aprobada Asignatura 3">
      <calculatedColumnFormula>_xlfn.XLOOKUP(Tabla15[[#This Row],[Asignatura 3]],TablaDestino[ID Asig],TablaDestino[Adaptada],"")</calculatedColumnFormula>
    </tableColumn>
    <tableColumn id="16" xr3:uid="{67973FDB-3760-0A4E-BE50-347392921D98}" name="Aprobada Asignatura 4">
      <calculatedColumnFormula>_xlfn.XLOOKUP(Tabla15[[#This Row],[Asignatura 4]],TablaDestino[ID Asig],TablaDestino[Adaptada],"")</calculatedColumnFormula>
    </tableColumn>
    <tableColumn id="17" xr3:uid="{CD4558C2-C6E6-7E4F-BB9D-4ACFCE8CBF3E}" name="Aprobada Asignatura 5">
      <calculatedColumnFormula>_xlfn.XLOOKUP(Tabla15[[#This Row],[Asignatura 5]],TablaDestino[ID Asig],TablaDestino[Adaptada],"")</calculatedColumnFormula>
    </tableColumn>
    <tableColumn id="18" xr3:uid="{7A8A08B0-1723-1741-B946-7349E60BB532}" name="Aprobado?">
      <calculatedColumnFormula>IF(COUNTIFS(Tabla15[[#This Row],[Aprobada Asignatura 1]:[Aprobada Asignatura 5]],"SI")=Tabla15[[#This Row],[Número asignaturas]],"SI","NO")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4DD25F5-2684-CF46-B867-74639B91B0ED}" name="TablaAdaptacionporasignatura" displayName="TablaAdaptacionporasignatura" ref="C7:CI48" totalsRowCount="1" headerRowDxfId="245" dataDxfId="244" tableBorderDxfId="243">
  <autoFilter ref="C7:CI47" xr:uid="{04DD25F5-2684-CF46-B867-74639B91B0ED}"/>
  <sortState xmlns:xlrd2="http://schemas.microsoft.com/office/spreadsheetml/2017/richdata2" ref="C8:BW47">
    <sortCondition ref="F7:F47"/>
  </sortState>
  <tableColumns count="85">
    <tableColumn id="1" xr3:uid="{FF77876B-C8AF-5647-B1DB-E0FBE150507D}" name="ID" dataDxfId="242"/>
    <tableColumn id="2" xr3:uid="{A2C6D3C2-0E85-1843-8FD4-4F284D5E2153}" name="Módulo" dataDxfId="241">
      <calculatedColumnFormula>_xlfn.XLOOKUP(TablaAdaptacionporasignatura[[#This Row],[ID Asig]],TablaDestino[ID Asig],TablaDestino[Módulo])</calculatedColumnFormula>
    </tableColumn>
    <tableColumn id="81" xr3:uid="{AB0B708A-82FA-7448-9FD8-B50AA527E6BF}" name="ID Modulo" dataDxfId="240">
      <calculatedColumnFormula>_xlfn.XLOOKUP(TablaAdaptacionporasignatura[[#This Row],[ID Asig]],TablaDestino[ID Asig],TablaDestino[ID Modulo])</calculatedColumnFormula>
    </tableColumn>
    <tableColumn id="3" xr3:uid="{7BD893BF-A04D-3E48-88AD-2AD6DB831243}" name="ID Asig" dataDxfId="239"/>
    <tableColumn id="4" xr3:uid="{BA0DEEA9-978F-1C46-A49B-0FCFA235FCD9}" name="Asignatura" dataDxfId="238">
      <calculatedColumnFormula>_xlfn.XLOOKUP(TablaAdaptacionporasignatura[[#This Row],[ID Asig]],TablaDestino[ID Asig],TablaDestino[Asignatura])</calculatedColumnFormula>
    </tableColumn>
    <tableColumn id="5" xr3:uid="{5F058DBA-ECAD-734F-8671-F3510B79F530}" name="Curso" dataDxfId="237">
      <calculatedColumnFormula>_xlfn.XLOOKUP(TablaAdaptacionporasignatura[[#This Row],[ID Asig]],TablaDestino[ID Asig],TablaDestino[Curso])</calculatedColumnFormula>
    </tableColumn>
    <tableColumn id="6" xr3:uid="{A4F29EFD-6EDE-1A4C-8DFE-3F363719E9F5}" name="Cuatrimestre" dataDxfId="236">
      <calculatedColumnFormula>_xlfn.XLOOKUP(TablaAdaptacionporasignatura[[#This Row],[ID Asig]],TablaDestino[ID Asig],TablaDestino[Cuatr])</calculatedColumnFormula>
    </tableColumn>
    <tableColumn id="7" xr3:uid="{EBEA2F7A-3808-0046-A1FF-DCEEB14618A7}" name="ECTS" dataDxfId="235" totalsRowDxfId="234">
      <calculatedColumnFormula>_xlfn.XLOOKUP(TablaAdaptacionporasignatura[[#This Row],[ID Asig]],TablaDestino[ID Asig],TablaDestino[ECTS])</calculatedColumnFormula>
    </tableColumn>
    <tableColumn id="8" xr3:uid="{F44B79FF-57AD-CD4F-97C1-1855BC5F71C9}" name="Tipo" dataDxfId="233" totalsRowDxfId="232">
      <calculatedColumnFormula>_xlfn.XLOOKUP(TablaAdaptacionporasignatura[[#This Row],[ID Asig]],TablaDestino[ID Asig],TablaDestino[Tipo])</calculatedColumnFormula>
    </tableColumn>
    <tableColumn id="10" xr3:uid="{6D17963D-91CA-F544-8E32-C29922560C1D}" name="27448" totalsRowFunction="custom" dataDxfId="231" totalsRowDxfId="230">
      <totalsRowFormula>COUNTIFS(TablaAdaptacionporasignatura[27448],"X")</totalsRowFormula>
    </tableColumn>
    <tableColumn id="11" xr3:uid="{DB5DE22D-E752-FF45-A3AF-4D1F040B0285}" name="27443" totalsRowFunction="custom" dataDxfId="229" totalsRowDxfId="228">
      <totalsRowFormula>COUNTIFS(TablaAdaptacionporasignatura[27443],"X")</totalsRowFormula>
    </tableColumn>
    <tableColumn id="12" xr3:uid="{0329EF60-F848-064C-BA29-A25F0D52A3FC}" name="27447" totalsRowFunction="custom" dataDxfId="227" totalsRowDxfId="226">
      <totalsRowFormula>COUNTIFS(TablaAdaptacionporasignatura[27447],"X")</totalsRowFormula>
    </tableColumn>
    <tableColumn id="13" xr3:uid="{2D310703-1BDF-9343-866B-215F8C11FA43}" name="27445" totalsRowFunction="custom" dataDxfId="225" totalsRowDxfId="224">
      <totalsRowFormula>COUNTIFS(TablaAdaptacionporasignatura[27445],"X")</totalsRowFormula>
    </tableColumn>
    <tableColumn id="14" xr3:uid="{9B1C961A-AB4F-6E41-B0EE-8C89B693F6E2}" name="27451" totalsRowFunction="custom" dataDxfId="223" totalsRowDxfId="222">
      <totalsRowFormula>COUNTIFS(TablaAdaptacionporasignatura[27451],"X")</totalsRowFormula>
    </tableColumn>
    <tableColumn id="15" xr3:uid="{B35F97AB-CC73-F047-8060-AFF52A92142D}" name="27444" totalsRowFunction="custom" dataDxfId="221" totalsRowDxfId="220">
      <totalsRowFormula>COUNTIFS(TablaAdaptacionporasignatura[27444],"X")</totalsRowFormula>
    </tableColumn>
    <tableColumn id="16" xr3:uid="{1EE1A54E-0B4B-7E47-AFBA-AE80F4D73658}" name="27446" totalsRowFunction="custom" dataDxfId="219" totalsRowDxfId="218">
      <totalsRowFormula>COUNTIFS(TablaAdaptacionporasignatura[27446],"X")</totalsRowFormula>
    </tableColumn>
    <tableColumn id="17" xr3:uid="{98649EF6-498A-9E44-B205-C7B7F39D09C9}" name="27452" totalsRowFunction="custom" dataDxfId="217" totalsRowDxfId="216">
      <totalsRowFormula>COUNTIFS(TablaAdaptacionporasignatura[27452],"X")</totalsRowFormula>
    </tableColumn>
    <tableColumn id="18" xr3:uid="{9CC0A64B-0D9E-9F46-9FC7-CA8BA2379B7E}" name="27442" totalsRowFunction="custom" dataDxfId="215" totalsRowDxfId="214">
      <totalsRowFormula>COUNTIFS(TablaAdaptacionporasignatura[27442],"X")</totalsRowFormula>
    </tableColumn>
    <tableColumn id="19" xr3:uid="{E1B37EDD-B62B-6048-84E2-7AD410FE1766}" name="27449" totalsRowFunction="custom" dataDxfId="213" totalsRowDxfId="212">
      <totalsRowFormula>COUNTIFS(TablaAdaptacionporasignatura[27449],"X")</totalsRowFormula>
    </tableColumn>
    <tableColumn id="20" xr3:uid="{83071C63-5C75-374C-9AF8-C1936A6A6AB1}" name="27450" totalsRowFunction="custom" dataDxfId="211" totalsRowDxfId="210">
      <totalsRowFormula>COUNTIFS(TablaAdaptacionporasignatura[27450],"X")</totalsRowFormula>
    </tableColumn>
    <tableColumn id="21" xr3:uid="{15A3E020-60CA-C245-BED2-29FBEBFAD8AA}" name="27456" totalsRowFunction="custom" dataDxfId="209" totalsRowDxfId="208">
      <totalsRowFormula>COUNTIFS(TablaAdaptacionporasignatura[27456],"X")</totalsRowFormula>
    </tableColumn>
    <tableColumn id="22" xr3:uid="{F772DB9B-AFCA-2446-AD35-3AC3596487AE}" name="27453" totalsRowFunction="custom" dataDxfId="207" totalsRowDxfId="206">
      <totalsRowFormula>COUNTIFS(TablaAdaptacionporasignatura[27453],"X")</totalsRowFormula>
    </tableColumn>
    <tableColumn id="23" xr3:uid="{88C9CE82-5A35-3B48-89BC-9505122FE7B5}" name="27454" totalsRowFunction="custom" dataDxfId="205" totalsRowDxfId="204">
      <totalsRowFormula>COUNTIFS(TablaAdaptacionporasignatura[27454],"X")</totalsRowFormula>
    </tableColumn>
    <tableColumn id="24" xr3:uid="{27B17F9F-5DD1-2B4B-8817-326C56714888}" name="27457" totalsRowFunction="custom" dataDxfId="203" totalsRowDxfId="202">
      <totalsRowFormula>COUNTIFS(TablaAdaptacionporasignatura[27457],"X")</totalsRowFormula>
    </tableColumn>
    <tableColumn id="25" xr3:uid="{34A626DE-8264-314D-B2B7-CD026A4B9E76}" name="27459" totalsRowFunction="custom" dataDxfId="201" totalsRowDxfId="200">
      <totalsRowFormula>COUNTIFS(TablaAdaptacionporasignatura[27459],"X")</totalsRowFormula>
    </tableColumn>
    <tableColumn id="26" xr3:uid="{CEEC3EED-D189-D048-8C75-C7D4A9AE4F41}" name="27458" totalsRowFunction="custom" dataDxfId="199" totalsRowDxfId="198">
      <totalsRowFormula>COUNTIFS(TablaAdaptacionporasignatura[27458],"X")</totalsRowFormula>
    </tableColumn>
    <tableColumn id="27" xr3:uid="{F80768F7-CA8A-5844-9CBA-3B7DF0E8394B}" name="27455" totalsRowFunction="custom" dataDxfId="197" totalsRowDxfId="196">
      <totalsRowFormula>COUNTIFS(TablaAdaptacionporasignatura[27455],"X")</totalsRowFormula>
    </tableColumn>
    <tableColumn id="28" xr3:uid="{F1780842-18C7-2540-BABC-DAECDEE9ED7C}" name="27485" totalsRowFunction="custom" dataDxfId="195" totalsRowDxfId="194">
      <totalsRowFormula>COUNTIFS(TablaAdaptacionporasignatura[27485],"X")</totalsRowFormula>
    </tableColumn>
    <tableColumn id="29" xr3:uid="{7ABCD2CD-DB0A-BC4B-83F9-3412FD4DCCA5}" name="27484" totalsRowFunction="custom" dataDxfId="193" totalsRowDxfId="192">
      <totalsRowFormula>COUNTIFS(TablaAdaptacionporasignatura[27484],"X")</totalsRowFormula>
    </tableColumn>
    <tableColumn id="30" xr3:uid="{B44AB0A8-0ADD-6D4A-A565-CECEA68B67EC}" name="27492" totalsRowFunction="custom" dataDxfId="191" totalsRowDxfId="190">
      <totalsRowFormula>COUNTIFS(TablaAdaptacionporasignatura[27492],"X")</totalsRowFormula>
    </tableColumn>
    <tableColumn id="31" xr3:uid="{3F3E88AA-1B11-3448-B219-339C868E6639}" name="27491" totalsRowFunction="custom" dataDxfId="189" totalsRowDxfId="188">
      <totalsRowFormula>COUNTIFS(TablaAdaptacionporasignatura[27491],"X")</totalsRowFormula>
    </tableColumn>
    <tableColumn id="32" xr3:uid="{E561074A-11CB-294A-BBF2-EBA145C57F08}" name="27488" totalsRowFunction="custom" dataDxfId="187" totalsRowDxfId="186">
      <totalsRowFormula>COUNTIFS(TablaAdaptacionporasignatura[27488],"X")</totalsRowFormula>
    </tableColumn>
    <tableColumn id="33" xr3:uid="{7CFE49EF-07AC-E34E-B152-4864B6319BB7}" name="27487" totalsRowFunction="custom" dataDxfId="185" totalsRowDxfId="184">
      <totalsRowFormula>COUNTIFS(TablaAdaptacionporasignatura[27487],"X")</totalsRowFormula>
    </tableColumn>
    <tableColumn id="34" xr3:uid="{7AFBE127-F0CA-8F49-B73C-333F3B8F73F6}" name="27486" totalsRowFunction="custom" dataDxfId="183" totalsRowDxfId="182">
      <totalsRowFormula>COUNTIFS(TablaAdaptacionporasignatura[27486],"X")</totalsRowFormula>
    </tableColumn>
    <tableColumn id="35" xr3:uid="{CD610B86-5DA7-CC49-A58A-D40BE8A412CE}" name="27489" totalsRowFunction="custom" dataDxfId="181" totalsRowDxfId="180">
      <totalsRowFormula>COUNTIFS(TablaAdaptacionporasignatura[27489],"X")</totalsRowFormula>
    </tableColumn>
    <tableColumn id="36" xr3:uid="{ACE4AA19-E982-A54E-81DE-6083F1B4BD28}" name="27490" totalsRowFunction="custom" dataDxfId="179" totalsRowDxfId="178">
      <totalsRowFormula>COUNTIFS(TablaAdaptacionporasignatura[27490],"X")</totalsRowFormula>
    </tableColumn>
    <tableColumn id="37" xr3:uid="{4AB8ACC0-67A9-9741-BE6A-7CCABF95A86C}" name="26047" totalsRowFunction="custom" dataDxfId="177" totalsRowDxfId="176">
      <totalsRowFormula>COUNTIFS(TablaAdaptacionporasignatura[26047],"X")</totalsRowFormula>
    </tableColumn>
    <tableColumn id="38" xr3:uid="{EA122C34-50D9-F349-BE90-2E5DF5A9965F}" name="27493" totalsRowFunction="custom" dataDxfId="175" totalsRowDxfId="174">
      <totalsRowFormula>COUNTIFS(TablaAdaptacionporasignatura[27493],"X")</totalsRowFormula>
    </tableColumn>
    <tableColumn id="39" xr3:uid="{55491F69-2559-F74C-AC88-4ECB6F3A5450}" name="27494" totalsRowFunction="custom" dataDxfId="173" totalsRowDxfId="172">
      <totalsRowFormula>COUNTIFS(TablaAdaptacionporasignatura[27494],"X")</totalsRowFormula>
    </tableColumn>
    <tableColumn id="40" xr3:uid="{549DCFAD-501C-254C-9328-726EC1BC524D}" name="27496" totalsRowFunction="custom" dataDxfId="171" totalsRowDxfId="170">
      <totalsRowFormula>COUNTIFS(TablaAdaptacionporasignatura[27496],"X")</totalsRowFormula>
    </tableColumn>
    <tableColumn id="41" xr3:uid="{C5AD0BA2-1145-6E41-B4FD-38EDC942AE4F}" name="27495" totalsRowFunction="custom" dataDxfId="169" totalsRowDxfId="168">
      <totalsRowFormula>COUNTIFS(TablaAdaptacionporasignatura[27495],"X")</totalsRowFormula>
    </tableColumn>
    <tableColumn id="42" xr3:uid="{3AEEAF45-7CCE-9849-A3DB-99B4766451E3}" name="27502" totalsRowFunction="custom" dataDxfId="167" totalsRowDxfId="166">
      <totalsRowFormula>COUNTIFS(TablaAdaptacionporasignatura[27502],"X")</totalsRowFormula>
    </tableColumn>
    <tableColumn id="43" xr3:uid="{04DE3A34-CCE5-E048-932D-347D075E0343}" name="27503" totalsRowFunction="custom" dataDxfId="165" totalsRowDxfId="164">
      <totalsRowFormula>COUNTIFS(TablaAdaptacionporasignatura[27503],"X")</totalsRowFormula>
    </tableColumn>
    <tableColumn id="44" xr3:uid="{7B680E01-A288-4C40-B416-BDFC9FC01C04}" name="27499" totalsRowFunction="custom" dataDxfId="163" totalsRowDxfId="162">
      <totalsRowFormula>COUNTIFS(TablaAdaptacionporasignatura[27499],"X")</totalsRowFormula>
    </tableColumn>
    <tableColumn id="45" xr3:uid="{025EB4CA-3308-244F-8EED-9869DF8454E6}" name="27504" totalsRowFunction="custom" dataDxfId="161" totalsRowDxfId="160">
      <totalsRowFormula>COUNTIFS(TablaAdaptacionporasignatura[27504],"X")</totalsRowFormula>
    </tableColumn>
    <tableColumn id="46" xr3:uid="{C3062EE9-5C05-B942-839F-BF5B0DE87980}" name="27500" totalsRowFunction="custom" dataDxfId="159" totalsRowDxfId="158">
      <totalsRowFormula>COUNTIFS(TablaAdaptacionporasignatura[27500],"X")</totalsRowFormula>
    </tableColumn>
    <tableColumn id="47" xr3:uid="{D24A3EB0-3819-C243-91CD-EB86AC606F64}" name="27498" totalsRowFunction="custom" dataDxfId="157" totalsRowDxfId="156">
      <totalsRowFormula>COUNTIFS(TablaAdaptacionporasignatura[27498],"X")</totalsRowFormula>
    </tableColumn>
    <tableColumn id="48" xr3:uid="{FEB3E7EC-95FC-4C45-9FEC-EC08126B61D7}" name="27497" totalsRowFunction="custom" dataDxfId="155" totalsRowDxfId="154">
      <totalsRowFormula>COUNTIFS(TablaAdaptacionporasignatura[27497],"X")</totalsRowFormula>
    </tableColumn>
    <tableColumn id="49" xr3:uid="{0348CAF1-07A0-2B48-B9A6-04C026D444A6}" name="27501" totalsRowFunction="custom" dataDxfId="153" totalsRowDxfId="152">
      <totalsRowFormula>COUNTIFS(TablaAdaptacionporasignatura[27501],"X")</totalsRowFormula>
    </tableColumn>
    <tableColumn id="50" xr3:uid="{C302D666-B508-B94E-8717-1EF30709DBB0}" name="28278" totalsRowFunction="custom" dataDxfId="151" totalsRowDxfId="150">
      <totalsRowFormula>COUNTIFS(TablaAdaptacionporasignatura[28278],"X")</totalsRowFormula>
    </tableColumn>
    <tableColumn id="51" xr3:uid="{C3163D1D-40AE-F44C-B608-A6E817D24FF4}" name="28279" totalsRowFunction="custom" dataDxfId="149" totalsRowDxfId="148">
      <totalsRowFormula>COUNTIFS(TablaAdaptacionporasignatura[28279],"X")</totalsRowFormula>
    </tableColumn>
    <tableColumn id="52" xr3:uid="{66689CDE-9EC3-9243-94E2-9D4175222168}" name="27506" totalsRowFunction="custom" dataDxfId="147" totalsRowDxfId="146">
      <totalsRowFormula>COUNTIFS(TablaAdaptacionporasignatura[27506],"X")</totalsRowFormula>
    </tableColumn>
    <tableColumn id="53" xr3:uid="{E33BC311-BE1C-3E4B-AE39-570C25513644}" name="Aux1" totalsRowFunction="custom" dataDxfId="145" totalsRowDxfId="144">
      <totalsRowFormula>COUNTIFS(TablaAdaptacionporasignatura[Aux1],"X")</totalsRowFormula>
    </tableColumn>
    <tableColumn id="54" xr3:uid="{3C2FF4B1-940C-654B-9152-A335DD744724}" name="Aux2" totalsRowFunction="custom" dataDxfId="143" totalsRowDxfId="142">
      <totalsRowFormula>COUNTIFS(TablaAdaptacionporasignatura[Aux2],"X")</totalsRowFormula>
    </tableColumn>
    <tableColumn id="55" xr3:uid="{76D17A9F-5854-774B-99CE-F86B234E419D}" name="Aux3" totalsRowFunction="custom" dataDxfId="141" totalsRowDxfId="140">
      <totalsRowFormula>COUNTIFS(TablaAdaptacionporasignatura[Aux3],"X")</totalsRowFormula>
    </tableColumn>
    <tableColumn id="56" xr3:uid="{E0490535-962D-AB41-A6DB-D15A41B7253C}" name="Aux4" totalsRowFunction="custom" dataDxfId="139" totalsRowDxfId="138">
      <totalsRowFormula>COUNTIFS(TablaAdaptacionporasignatura[Aux4],"X")</totalsRowFormula>
    </tableColumn>
    <tableColumn id="57" xr3:uid="{44EE41AA-02EA-674E-A0C1-7DEDD454CE5F}" name="Aux5" totalsRowFunction="custom" dataDxfId="137" totalsRowDxfId="136">
      <totalsRowFormula>COUNTIFS(TablaAdaptacionporasignatura[Aux5],"X")</totalsRowFormula>
    </tableColumn>
    <tableColumn id="58" xr3:uid="{2B64D198-EB33-FA4E-96A5-E1302DB874E6}" name="Aux6" totalsRowFunction="custom" dataDxfId="135" totalsRowDxfId="134">
      <totalsRowFormula>COUNTIFS(TablaAdaptacionporasignatura[Aux6],"X")</totalsRowFormula>
    </tableColumn>
    <tableColumn id="59" xr3:uid="{4AC9AFCC-5A27-EF41-9836-25DBC0FDF19C}" name="Aux7" totalsRowFunction="custom" dataDxfId="133" totalsRowDxfId="132">
      <totalsRowFormula>COUNTIFS(TablaAdaptacionporasignatura[Aux7],"X")</totalsRowFormula>
    </tableColumn>
    <tableColumn id="60" xr3:uid="{734258D4-EEE8-3949-A485-411F36CDC3E3}" name="Aux8" dataDxfId="131" totalsRowDxfId="130"/>
    <tableColumn id="61" xr3:uid="{865325C8-8921-8646-B099-3462F886E5FC}" name="Aux9" dataDxfId="129" totalsRowDxfId="128"/>
    <tableColumn id="62" xr3:uid="{70B84411-AA84-6546-93D8-AE1FE9561E08}" name="Aux10" dataDxfId="127" totalsRowDxfId="126"/>
    <tableColumn id="63" xr3:uid="{A838B742-F370-C646-967A-C980619CC750}" name="Aux11" dataDxfId="125" totalsRowDxfId="124"/>
    <tableColumn id="64" xr3:uid="{AC9D0ABC-E83B-9D42-9BB8-278FB7B7280D}" name="Aux12" dataDxfId="123" totalsRowDxfId="122"/>
    <tableColumn id="65" xr3:uid="{5C9EBBAE-562E-A346-AA98-03D737A88D8A}" name="Aux13" dataDxfId="121" totalsRowDxfId="120"/>
    <tableColumn id="66" xr3:uid="{8796E572-3D27-1241-9B36-0D88DB221C8E}" name="Aux14" dataDxfId="119" totalsRowDxfId="118"/>
    <tableColumn id="67" xr3:uid="{C6D54615-0991-FE41-991D-013BC526AD7D}" name="Aux15" dataDxfId="117" totalsRowDxfId="116"/>
    <tableColumn id="68" xr3:uid="{5283AD29-B554-CE4A-9496-5B8D0EDF6FBE}" name="Aux16" dataDxfId="115" totalsRowDxfId="114"/>
    <tableColumn id="69" xr3:uid="{83B306D4-2D44-AD48-95C6-7A8A2EA489AA}" name="Asignatura Primaria" dataDxfId="113" totalsRowDxfId="112">
      <calculatedColumnFormula array="1">_xlfn.XLOOKUP("X",TablaAdaptacionporasignatura[[#This Row],[27448]:[Aux16]],TablaAdaptacionporasignatura[[#Headers],[27448]:[Aux16]],"")</calculatedColumnFormula>
    </tableColumn>
    <tableColumn id="70" xr3:uid="{DFA202E9-0D60-FB47-A42E-605286F70EB0}" name="Asignatura Secundaria Y1" dataDxfId="111" totalsRowDxfId="110">
      <calculatedColumnFormula array="1">_xlfn.XLOOKUP("Y1",TablaAdaptacionporasignatura[[#This Row],[27448]:[Aux16]],TablaAdaptacionporasignatura[[#Headers],[27448]:[Aux16]],"")</calculatedColumnFormula>
    </tableColumn>
    <tableColumn id="76" xr3:uid="{7EF582F0-5EE3-7242-8C19-4567D214EECE}" name="Asignatura Secundaria Y2" dataDxfId="109" totalsRowDxfId="108">
      <calculatedColumnFormula array="1">_xlfn.XLOOKUP("Y2",TablaAdaptacionporasignatura[[#This Row],[27448]:[Aux16]],TablaAdaptacionporasignatura[[#Headers],[27448]:[Aux16]],"")</calculatedColumnFormula>
    </tableColumn>
    <tableColumn id="9" xr3:uid="{20FF4B46-53F7-B645-8260-1551C9F66E4D}" name="Asignatura Secundaria Y3" dataDxfId="107" totalsRowDxfId="106">
      <calculatedColumnFormula array="1">_xlfn.XLOOKUP("Y3",TablaAdaptacionporasignatura[[#This Row],[27448]:[Aux16]],TablaAdaptacionporasignatura[[#Headers],[27448]:[Aux16]],"")</calculatedColumnFormula>
    </tableColumn>
    <tableColumn id="71" xr3:uid="{8C783A0C-3813-514B-8B10-D09DB7AD701D}" name="Asignatura Secundaria  Y4" dataDxfId="105" totalsRowDxfId="104">
      <calculatedColumnFormula array="1">_xlfn.XLOOKUP("Y4",TablaAdaptacionporasignatura[[#This Row],[27448]:[Aux16]],TablaAdaptacionporasignatura[[#Headers],[27448]:[Aux16]],"")</calculatedColumnFormula>
    </tableColumn>
    <tableColumn id="79" xr3:uid="{443F4421-4D61-EF47-9CB2-02E148250651}" name="Asignatura Secundaria O1" dataDxfId="103" totalsRowDxfId="102">
      <calculatedColumnFormula array="1">_xlfn.XLOOKUP("O1",TablaAdaptacionporasignatura[[#This Row],[27448]:[Aux16]],TablaAdaptacionporasignatura[[#Headers],[27448]:[Aux16]],"")</calculatedColumnFormula>
    </tableColumn>
    <tableColumn id="83" xr3:uid="{CA86722E-C345-BD48-A670-F717863EF31B}" name="Asignatura Secundaria O2" dataDxfId="101" totalsRowDxfId="100">
      <calculatedColumnFormula array="1">_xlfn.XLOOKUP("O2",TablaAdaptacionporasignatura[[#This Row],[27448]:[Aux16]],TablaAdaptacionporasignatura[[#Headers],[27448]:[Aux16]],"")</calculatedColumnFormula>
    </tableColumn>
    <tableColumn id="82" xr3:uid="{1ACF998F-560A-3D45-A69A-986694E08BA4}" name="Asignatura Secundaria O3" dataDxfId="99" totalsRowDxfId="98">
      <calculatedColumnFormula array="1">_xlfn.XLOOKUP("O3",TablaAdaptacionporasignatura[[#This Row],[27448]:[Aux16]],TablaAdaptacionporasignatura[[#Headers],[27448]:[Aux16]],"")</calculatedColumnFormula>
    </tableColumn>
    <tableColumn id="73" xr3:uid="{16F30E3C-EEE5-ED4C-8D94-86BC6DDFD173}" name="Primaria Superada?" dataDxfId="97" totalsRowDxfId="96">
      <calculatedColumnFormula>IF(TablaAdaptacionporasignatura[[#This Row],[Asignatura Primaria]]="","",_xlfn.XLOOKUP(VALUE(TablaAdaptacionporasignatura[[#This Row],[Asignatura Primaria]]),TablaOrigen[Cod. As.],TablaOrigen[Asignatura a procesar?],"NO"))</calculatedColumnFormula>
    </tableColumn>
    <tableColumn id="74" xr3:uid="{5F2FBDF7-48E7-4D49-8463-5177B21F68BA}" name="Y1 Superada?" dataDxfId="95" totalsRowDxfId="94">
      <calculatedColumnFormula>IF(TablaAdaptacionporasignatura[[#This Row],[Asignatura Secundaria Y1]]="","",_xlfn.XLOOKUP(VALUE(TablaAdaptacionporasignatura[[#This Row],[Asignatura Secundaria Y1]]),TablaOrigen[Cod. As.],TablaOrigen[Asignatura a procesar?],""))</calculatedColumnFormula>
    </tableColumn>
    <tableColumn id="75" xr3:uid="{0F8D84E8-D403-C744-8D49-866711DA70F4}" name="Y2 Superada?" dataDxfId="93" totalsRowDxfId="92">
      <calculatedColumnFormula>IF(TablaAdaptacionporasignatura[[#This Row],[Asignatura Secundaria Y2]]="","",_xlfn.XLOOKUP(VALUE(TablaAdaptacionporasignatura[[#This Row],[Asignatura Secundaria Y2]]),TablaOrigen[Cod. As.],TablaOrigen[Asignatura a procesar?],""))</calculatedColumnFormula>
    </tableColumn>
    <tableColumn id="72" xr3:uid="{E7B3F37D-77F8-3A47-A1A0-50748BFA1F35}" name="Y3 Superada?" dataDxfId="91" totalsRowDxfId="90">
      <calculatedColumnFormula>IF(TablaAdaptacionporasignatura[[#This Row],[Asignatura Secundaria Y3]]="","",_xlfn.XLOOKUP(VALUE(TablaAdaptacionporasignatura[[#This Row],[Asignatura Secundaria Y3]]),TablaOrigen[Cod. As.],TablaOrigen[Asignatura a procesar?],""))</calculatedColumnFormula>
    </tableColumn>
    <tableColumn id="77" xr3:uid="{F7CED2AB-E866-A44A-A490-42EC621D2027}" name="Y4 superada?" dataDxfId="89" totalsRowDxfId="88">
      <calculatedColumnFormula>IF(TablaAdaptacionporasignatura[[#This Row],[Asignatura Secundaria  Y4]]="","",_xlfn.XLOOKUP(VALUE(TablaAdaptacionporasignatura[[#This Row],[Asignatura Secundaria  Y4]]),TablaOrigen[Cod. As.],TablaOrigen[Asignatura a procesar?],""))</calculatedColumnFormula>
    </tableColumn>
    <tableColumn id="80" xr3:uid="{41403EDB-5E31-4749-8F62-05F862A65362}" name="O1 Superada" dataDxfId="87" totalsRowDxfId="86">
      <calculatedColumnFormula>IF(TablaAdaptacionporasignatura[[#This Row],[Asignatura Secundaria O1]]="","",_xlfn.XLOOKUP(VALUE(TablaAdaptacionporasignatura[[#This Row],[Asignatura Secundaria O1]]),TablaOrigen[Cod. As.],TablaOrigen[Asignatura a procesar?],""))</calculatedColumnFormula>
    </tableColumn>
    <tableColumn id="85" xr3:uid="{B6E7AE3B-525F-024C-8106-A07EDB5AEFE4}" name="O2 Superada" dataDxfId="85" totalsRowDxfId="84">
      <calculatedColumnFormula>IF(TablaAdaptacionporasignatura[[#This Row],[Asignatura Secundaria O2]]="","",_xlfn.XLOOKUP(VALUE(TablaAdaptacionporasignatura[[#This Row],[Asignatura Secundaria O2]]),TablaOrigen[Cod. As.],TablaOrigen[Asignatura a procesar?],""))</calculatedColumnFormula>
    </tableColumn>
    <tableColumn id="84" xr3:uid="{B82F29B7-537B-2D47-B955-26E19D523FCE}" name="O3 Superada" dataDxfId="83" totalsRowDxfId="82">
      <calculatedColumnFormula>IF(TablaAdaptacionporasignatura[[#This Row],[Asignatura Secundaria O3]]="","",_xlfn.XLOOKUP(VALUE(TablaAdaptacionporasignatura[[#This Row],[Asignatura Secundaria O3]]),TablaOrigen[Cod. As.],TablaOrigen[Asignatura a procesar?],""))</calculatedColumnFormula>
    </tableColumn>
    <tableColumn id="78" xr3:uid="{A04E0B12-31CA-F045-8FAA-1A171E27566C}" name="Asignatura Adaptada?" dataDxfId="81" totalsRowDxfId="80">
      <calculatedColumnFormula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42D29AA-CF00-D24E-BF92-4C0B63D97849}" name="Tabla8" displayName="Tabla8" ref="B8:H13" totalsRowShown="0">
  <autoFilter ref="B8:H13" xr:uid="{742D29AA-CF00-D24E-BF92-4C0B63D97849}"/>
  <tableColumns count="7">
    <tableColumn id="1" xr3:uid="{8598DEDA-185F-F147-9317-40B65AF01EC1}" name="ID Modulo" dataDxfId="79"/>
    <tableColumn id="2" xr3:uid="{5617F251-BD26-B948-BBDA-BE5B2492168E}" name="Módulo Origen" dataDxfId="78"/>
    <tableColumn id="3" xr3:uid="{9A14EFBE-30DD-A048-8A55-B472E52F989D}" name="ECTS Totales"/>
    <tableColumn id="4" xr3:uid="{3DFD0CA0-3A64-3843-A4EC-EBFB4C7A9C9E}" name="ECTS Superados" dataDxfId="77">
      <calculatedColumnFormula>SUMIFS(TablaOrigen[ECTS],TablaOrigen[ID Modulo],Tabla8[[#This Row],[ID Modulo]],TablaOrigen[Asignatura Aprobada],"SI")</calculatedColumnFormula>
    </tableColumn>
    <tableColumn id="5" xr3:uid="{579787F5-A341-9C4C-8B1E-824491AF07D9}" name="Módulo superado?" dataDxfId="76">
      <calculatedColumnFormula>IF(Tabla8[[#This Row],[ECTS Superados]]=Tabla8[[#This Row],[ECTS Totales]],"SI","NO")</calculatedColumnFormula>
    </tableColumn>
    <tableColumn id="9" xr3:uid="{A3457E5C-72CC-B543-AAB2-724092CE681D}" name="Límite ECTS definidos para adaptar el módulo" dataDxfId="75"/>
    <tableColumn id="10" xr3:uid="{251DE873-98AE-8543-939F-C374F54FE342}" name="Módulo superado con los límites?" dataDxfId="74">
      <calculatedColumnFormula>IF(Tabla8[[#This Row],[ECTS Superados]]+Tabla8[[#This Row],[Límite ECTS definidos para adaptar el módulo]]&gt;=Tabla8[[#This Row],[ECTS Totales]],"SI","NO")</calculatedColumnFormula>
    </tableColumn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1C0EE70-8390-B848-965B-833ADFF30CAD}" name="TablaModulosAdaptados" displayName="TablaModulosAdaptados" ref="B18:K22" totalsRowShown="0">
  <autoFilter ref="B18:K22" xr:uid="{31C0EE70-8390-B848-965B-833ADFF30CAD}"/>
  <sortState xmlns:xlrd2="http://schemas.microsoft.com/office/spreadsheetml/2017/richdata2" ref="B19:K22">
    <sortCondition ref="B18:B19"/>
  </sortState>
  <tableColumns count="10">
    <tableColumn id="1" xr3:uid="{1B27B3E6-2E35-A444-86D8-D60FB576B419}" name="ID Modulo" dataDxfId="73"/>
    <tableColumn id="2" xr3:uid="{933232BB-52D3-9A45-A5CE-2180F9316AA8}" name="Módulo" dataDxfId="72"/>
    <tableColumn id="3" xr3:uid="{60AE321D-505F-DB4C-8DEF-F734232726A5}" name="ECTS Totales"/>
    <tableColumn id="4" xr3:uid="{6B541DC1-22A3-B44D-8015-E4CD99D11871}" name="Módulo Origen 1">
      <calculatedColumnFormula>SUMIFS(TablaOrigen[ECTS],TablaOrigen[ID Modulo],Tabla8[[#This Row],[ID Modulo]],TablaOrigen[Asignatura Aprobada],"SI")</calculatedColumnFormula>
    </tableColumn>
    <tableColumn id="5" xr3:uid="{C479D978-8F87-144B-9DD2-B215894DC08E}" name=" O Módulo Origen 2">
      <calculatedColumnFormula>IF(Tabla8[[#This Row],[ECTS Superados]]=Tabla8[[#This Row],[ECTS Totales]],"SI","NO")</calculatedColumnFormula>
    </tableColumn>
    <tableColumn id="6" xr3:uid="{EC5A8FD1-1977-844F-B189-2D84D373ED26}" name="O Módulo Origen 3"/>
    <tableColumn id="7" xr3:uid="{0CB8A007-322D-9D4A-B720-6DDDC9EB1063}" name="Módulo Origen Primario Superado?" dataDxfId="71">
      <calculatedColumnFormula>_xlfn.XLOOKUP(TablaModulosAdaptados[[#This Row],[Módulo Origen 1]],Tabla8[ID Modulo],Tabla8[Módulo superado con los límites?],"")</calculatedColumnFormula>
    </tableColumn>
    <tableColumn id="8" xr3:uid="{BD893647-BA03-0749-87E1-BC254DE33215}" name="Módulo Origen Secundario Superado?" dataDxfId="70">
      <calculatedColumnFormula>IF(TablaModulosAdaptados[[#This Row],[ O Módulo Origen 2]]="","",_xlfn.XLOOKUP(TablaModulosAdaptados[[#This Row],[ O Módulo Origen 2]],Tabla8[ID Modulo],Tabla8[Módulo superado con los límites?],""))</calculatedColumnFormula>
    </tableColumn>
    <tableColumn id="9" xr3:uid="{99C86E38-EA01-6B4F-8352-AC7121553DDF}" name="Módulo Origen Terciario Superado?" dataDxfId="69">
      <calculatedColumnFormula>IF(TablaModulosAdaptados[[#This Row],[O Módulo Origen 3]]="","",_xlfn.XLOOKUP(TablaModulosAdaptados[[#This Row],[O Módulo Origen 3]],Tabla8[ID Modulo],Tabla8[Módulo superado con los límites?],""))</calculatedColumnFormula>
    </tableColumn>
    <tableColumn id="10" xr3:uid="{6245F8A6-F506-DD44-B9FF-134E22330F47}" name="Módulo Destino Adaptado?" dataDxfId="68">
      <calculatedColumnFormula>IF(OR(TablaModulosAdaptados[[#This Row],[Módulo Origen Primario Superado?]]="SI",TablaModulosAdaptados[[#This Row],[Módulo Origen Secundario Superado?]]="SI",TablaModulosAdaptados[[#This Row],[Módulo Origen Terciario Superado?]]="SI"),"SI","NO")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table" Target="../tables/table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7" Type="http://schemas.openxmlformats.org/officeDocument/2006/relationships/table" Target="../tables/table16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6" Type="http://schemas.openxmlformats.org/officeDocument/2006/relationships/table" Target="../tables/table15.xml"/><Relationship Id="rId5" Type="http://schemas.openxmlformats.org/officeDocument/2006/relationships/table" Target="../tables/table14.xml"/><Relationship Id="rId4" Type="http://schemas.openxmlformats.org/officeDocument/2006/relationships/table" Target="../tables/table1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E77FB-9F62-754E-A2B2-DE440E26793E}">
  <dimension ref="B1:AB72"/>
  <sheetViews>
    <sheetView tabSelected="1" zoomScale="90" zoomScaleNormal="90" workbookViewId="0">
      <selection activeCell="S4" sqref="S4"/>
    </sheetView>
  </sheetViews>
  <sheetFormatPr baseColWidth="10" defaultRowHeight="16" x14ac:dyDescent="0.2"/>
  <cols>
    <col min="2" max="2" width="11.6640625" hidden="1" customWidth="1"/>
    <col min="3" max="3" width="16.6640625" hidden="1" customWidth="1"/>
    <col min="4" max="4" width="11.33203125" hidden="1" customWidth="1"/>
    <col min="5" max="5" width="43.6640625" customWidth="1"/>
    <col min="6" max="6" width="6" customWidth="1"/>
    <col min="7" max="7" width="5.6640625" customWidth="1"/>
    <col min="8" max="8" width="7" customWidth="1"/>
    <col min="9" max="9" width="0" hidden="1" customWidth="1"/>
    <col min="10" max="10" width="6.83203125" customWidth="1"/>
    <col min="11" max="11" width="11.83203125" customWidth="1"/>
    <col min="12" max="12" width="14.33203125" customWidth="1"/>
    <col min="13" max="13" width="10.83203125" hidden="1" customWidth="1"/>
    <col min="14" max="14" width="12.5" customWidth="1"/>
    <col min="15" max="15" width="12.1640625" hidden="1" customWidth="1"/>
    <col min="16" max="16" width="21.83203125" customWidth="1"/>
    <col min="17" max="17" width="10.83203125" customWidth="1"/>
    <col min="18" max="18" width="43" customWidth="1"/>
    <col min="19" max="19" width="9" customWidth="1"/>
    <col min="20" max="20" width="6.6640625" customWidth="1"/>
    <col min="21" max="21" width="8" customWidth="1"/>
    <col min="22" max="22" width="37.6640625" hidden="1" customWidth="1"/>
    <col min="23" max="23" width="11" hidden="1" customWidth="1"/>
    <col min="24" max="24" width="26.1640625" hidden="1" customWidth="1"/>
    <col min="25" max="25" width="22.6640625" hidden="1" customWidth="1"/>
    <col min="26" max="26" width="17.5" customWidth="1"/>
    <col min="27" max="27" width="23.33203125" customWidth="1"/>
    <col min="28" max="28" width="11.5" customWidth="1"/>
  </cols>
  <sheetData>
    <row r="1" spans="2:28" x14ac:dyDescent="0.2">
      <c r="L1" t="s">
        <v>15</v>
      </c>
      <c r="S1" s="24" t="s">
        <v>302</v>
      </c>
    </row>
    <row r="2" spans="2:28" ht="19" customHeight="1" x14ac:dyDescent="0.3">
      <c r="D2" s="100"/>
      <c r="E2" s="100"/>
      <c r="F2" s="98" t="s">
        <v>87</v>
      </c>
      <c r="G2" s="98"/>
      <c r="H2" s="98"/>
      <c r="I2" s="98"/>
      <c r="J2" s="98"/>
      <c r="K2" s="99"/>
      <c r="L2" s="56">
        <f>SUMIFS(TablaOrigen[ECTS],TablaOrigen[Asignatura Aprobada],"SI")</f>
        <v>0</v>
      </c>
      <c r="M2" s="24"/>
      <c r="R2" s="57" t="s">
        <v>300</v>
      </c>
      <c r="S2" s="58" t="str">
        <f>CONCATENATE(SUMIFS(TablaDestino[ECTS],TablaDestino[Adaptada],"SI")+SUMIFS(TablaDestinoOptativas[ECTS],TablaDestinoOptativas[Adaptada],"SI"),"/",VALUE(240-12))</f>
        <v>0/228</v>
      </c>
      <c r="T2" s="59"/>
    </row>
    <row r="3" spans="2:28" x14ac:dyDescent="0.2">
      <c r="D3" s="60"/>
      <c r="E3" s="60"/>
      <c r="F3" s="98" t="s">
        <v>88</v>
      </c>
      <c r="G3" s="98"/>
      <c r="H3" s="98"/>
      <c r="I3" s="98"/>
      <c r="J3" s="98"/>
      <c r="K3" s="99"/>
      <c r="L3" s="56">
        <f>SUMIFS(TablaOrigen[ECTS],TablaOrigen[Matriculado y Aprobado en 25/26],"SI")</f>
        <v>0</v>
      </c>
      <c r="M3" s="24"/>
      <c r="O3" s="24"/>
      <c r="P3" s="24"/>
      <c r="Q3" s="24"/>
      <c r="R3" s="56" t="s">
        <v>301</v>
      </c>
      <c r="S3" s="58" t="str">
        <f>CONCATENATE(SUMIFS(TablaDestino[ECTS],TablaDestino[Tipo],"Básica",TablaDestino[Adaptada],"NO")+SUMIFS(TablaDestino[ECTS],TablaDestino[Tipo],"Obligatoria",TablaDestino[Adaptada],"NO")+MAX(0,24-SUMIFS(TablaDestino[ECTS],TablaDestino[Tipo],"Optativa",TablaDestino[Adaptada],"NO")),"/",VALUE(60+48+96+24))</f>
        <v>204/228</v>
      </c>
    </row>
    <row r="4" spans="2:28" x14ac:dyDescent="0.2">
      <c r="K4" s="56" t="s">
        <v>18</v>
      </c>
      <c r="L4" s="56">
        <f>L2+L3</f>
        <v>0</v>
      </c>
      <c r="R4" s="56" t="s">
        <v>298</v>
      </c>
      <c r="S4" s="58" t="str">
        <f>CONCATENATE(SUMIFS(TablaDestino[ECTS],TablaDestino[Tipo],"Optativa",TablaDestino[Adaptada],"SI")+SUMIFS(TablaDestinoOptativas[ECTS],TablaDestinoOptativas[Adaptada],"SI"),"/",VALUE(24))</f>
        <v>0/24</v>
      </c>
    </row>
    <row r="5" spans="2:28" x14ac:dyDescent="0.2">
      <c r="K5" s="24"/>
      <c r="L5" s="24"/>
      <c r="R5" s="56" t="s">
        <v>299</v>
      </c>
      <c r="S5" s="58" t="str">
        <f>CONCATENATE(SUMIFS(TablaDestino[ECTS],TablaDestino[Tipo],"Básica",TablaDestino[Adaptada],"SI")+SUMIFS(TablaDestino[ECTS],TablaDestino[Tipo],"Obligatoria",TablaDestino[Adaptada],"SI"),"/",VALUE(60+48+96))</f>
        <v>0/204</v>
      </c>
    </row>
    <row r="6" spans="2:28" ht="47" customHeight="1" x14ac:dyDescent="0.3">
      <c r="D6" s="101" t="s">
        <v>84</v>
      </c>
      <c r="E6" s="101"/>
      <c r="F6" s="101"/>
      <c r="G6" s="101"/>
      <c r="H6" s="101"/>
      <c r="I6" s="101"/>
      <c r="J6" s="101"/>
      <c r="K6" s="102" t="s">
        <v>102</v>
      </c>
      <c r="L6" s="102"/>
      <c r="M6" s="61"/>
      <c r="O6" s="100" t="s">
        <v>85</v>
      </c>
      <c r="P6" s="100"/>
      <c r="Q6" s="100"/>
      <c r="R6" s="100"/>
      <c r="S6" s="100"/>
      <c r="T6" s="100"/>
      <c r="U6" s="100"/>
      <c r="Z6" s="62" t="s">
        <v>101</v>
      </c>
      <c r="AB6" s="63"/>
    </row>
    <row r="7" spans="2:28" ht="64" customHeight="1" x14ac:dyDescent="0.2">
      <c r="B7" s="64" t="s">
        <v>42</v>
      </c>
      <c r="C7" s="65" t="s">
        <v>14</v>
      </c>
      <c r="D7" s="65" t="s">
        <v>353</v>
      </c>
      <c r="E7" s="65" t="s">
        <v>22</v>
      </c>
      <c r="F7" s="66" t="s">
        <v>5</v>
      </c>
      <c r="G7" s="66" t="s">
        <v>350</v>
      </c>
      <c r="H7" s="66" t="s">
        <v>351</v>
      </c>
      <c r="I7" s="66" t="s">
        <v>23</v>
      </c>
      <c r="J7" s="66" t="s">
        <v>15</v>
      </c>
      <c r="K7" s="67" t="s">
        <v>86</v>
      </c>
      <c r="L7" s="68" t="s">
        <v>97</v>
      </c>
      <c r="M7" s="69" t="s">
        <v>90</v>
      </c>
      <c r="N7" s="70"/>
      <c r="O7" s="52" t="s">
        <v>42</v>
      </c>
      <c r="P7" s="53" t="s">
        <v>14</v>
      </c>
      <c r="Q7" s="53" t="s">
        <v>30</v>
      </c>
      <c r="R7" s="53" t="s">
        <v>0</v>
      </c>
      <c r="S7" s="54" t="s">
        <v>5</v>
      </c>
      <c r="T7" s="54" t="s">
        <v>352</v>
      </c>
      <c r="U7" s="71" t="s">
        <v>15</v>
      </c>
      <c r="V7" s="53" t="s">
        <v>31</v>
      </c>
      <c r="W7" s="52" t="s">
        <v>40</v>
      </c>
      <c r="X7" s="52" t="s">
        <v>53</v>
      </c>
      <c r="Y7" s="52" t="s">
        <v>54</v>
      </c>
      <c r="Z7" s="52" t="s">
        <v>89</v>
      </c>
    </row>
    <row r="8" spans="2:28" x14ac:dyDescent="0.2">
      <c r="B8" s="72" t="s">
        <v>16</v>
      </c>
      <c r="C8" s="50" t="s">
        <v>41</v>
      </c>
      <c r="D8" s="28">
        <v>27448</v>
      </c>
      <c r="E8" s="28" t="s">
        <v>108</v>
      </c>
      <c r="F8" s="51">
        <v>1</v>
      </c>
      <c r="G8" s="73">
        <v>1</v>
      </c>
      <c r="H8" s="74" t="s">
        <v>38</v>
      </c>
      <c r="I8" s="74" t="s">
        <v>32</v>
      </c>
      <c r="J8" s="51">
        <v>6</v>
      </c>
      <c r="K8" s="94" t="s">
        <v>39</v>
      </c>
      <c r="L8" s="94" t="s">
        <v>39</v>
      </c>
      <c r="M8" s="75" t="str">
        <f>IF(OR(TablaOrigen[[#This Row],[Asignatura Aprobada]]="SI",TablaOrigen[[#This Row],[Matriculado y Aprobado en 25/26]]="SI"),"SI","NO")</f>
        <v>NO</v>
      </c>
      <c r="O8" t="s">
        <v>16</v>
      </c>
      <c r="P8" s="76" t="s">
        <v>41</v>
      </c>
      <c r="Q8" s="30" t="s">
        <v>154</v>
      </c>
      <c r="R8" s="76" t="s">
        <v>107</v>
      </c>
      <c r="S8" s="76">
        <v>1</v>
      </c>
      <c r="T8" s="76">
        <v>1</v>
      </c>
      <c r="U8" s="76">
        <v>6</v>
      </c>
      <c r="V8" s="77" t="s">
        <v>32</v>
      </c>
      <c r="W8" t="str">
        <f>_xlfn.XLOOKUP(TablaDestino[[#This Row],[ID Asig]],TablaAdaptacionporasignatura[ID Asig],TablaAdaptacionporasignatura[Asignatura Adaptada?],"error")</f>
        <v>NO</v>
      </c>
      <c r="X8" t="str">
        <f>_xlfn.XLOOKUP(TablaDestino[[#This Row],[ID Modulo]],TablaModulosAdaptados[ID Modulo],TablaModulosAdaptados[Módulo Destino Adaptado?])</f>
        <v>NO</v>
      </c>
      <c r="Y8" t="str">
        <f>_xlfn.XLOOKUP(TablaDestino[[#This Row],[ID Asig]],TablaCondicionesParticulares[ID Asig],TablaCondicionesParticulares[Adaptada por condiciones particulares?])</f>
        <v>NO</v>
      </c>
      <c r="Z8" t="str">
        <f>IF(OR(TablaDestino[[#This Row],[Adaptada por Asignaturas?]]="SI",TablaDestino[[#This Row],[Adaptada por Módulo?]]="SI",TablaDestino[[#This Row],[Adaptada por Cond. Particulares?]]="SI"),"SI","NO")</f>
        <v>NO</v>
      </c>
    </row>
    <row r="9" spans="2:28" x14ac:dyDescent="0.2">
      <c r="B9" s="72" t="s">
        <v>16</v>
      </c>
      <c r="C9" s="50" t="s">
        <v>41</v>
      </c>
      <c r="D9" s="28">
        <v>27443</v>
      </c>
      <c r="E9" s="28" t="s">
        <v>109</v>
      </c>
      <c r="F9" s="51">
        <v>1</v>
      </c>
      <c r="G9" s="73">
        <v>1</v>
      </c>
      <c r="H9" s="74" t="s">
        <v>38</v>
      </c>
      <c r="I9" s="74" t="s">
        <v>32</v>
      </c>
      <c r="J9" s="51">
        <v>6</v>
      </c>
      <c r="K9" s="94" t="s">
        <v>39</v>
      </c>
      <c r="L9" s="94" t="s">
        <v>39</v>
      </c>
      <c r="M9" s="75" t="str">
        <f>IF(OR(TablaOrigen[[#This Row],[Asignatura Aprobada]]="SI",TablaOrigen[[#This Row],[Matriculado y Aprobado en 25/26]]="SI"),"SI","NO")</f>
        <v>NO</v>
      </c>
      <c r="O9" t="s">
        <v>16</v>
      </c>
      <c r="P9" s="76" t="s">
        <v>41</v>
      </c>
      <c r="Q9" s="30" t="s">
        <v>157</v>
      </c>
      <c r="R9" s="76" t="s">
        <v>109</v>
      </c>
      <c r="S9" s="76">
        <v>1</v>
      </c>
      <c r="T9" s="76">
        <v>1</v>
      </c>
      <c r="U9" s="76">
        <v>6</v>
      </c>
      <c r="V9" s="77" t="s">
        <v>32</v>
      </c>
      <c r="W9" t="str">
        <f>_xlfn.XLOOKUP(TablaDestino[[#This Row],[ID Asig]],TablaAdaptacionporasignatura[ID Asig],TablaAdaptacionporasignatura[Asignatura Adaptada?],"error")</f>
        <v>NO</v>
      </c>
      <c r="X9" t="str">
        <f>_xlfn.XLOOKUP(TablaDestino[[#This Row],[ID Modulo]],TablaModulosAdaptados[ID Modulo],TablaModulosAdaptados[Módulo Destino Adaptado?])</f>
        <v>NO</v>
      </c>
      <c r="Y9" t="str">
        <f>_xlfn.XLOOKUP(TablaDestino[[#This Row],[ID Asig]],TablaCondicionesParticulares[ID Asig],TablaCondicionesParticulares[Adaptada por condiciones particulares?])</f>
        <v>NO</v>
      </c>
      <c r="Z9" t="str">
        <f>IF(OR(TablaDestino[[#This Row],[Adaptada por Asignaturas?]]="SI",TablaDestino[[#This Row],[Adaptada por Módulo?]]="SI",TablaDestino[[#This Row],[Adaptada por Cond. Particulares?]]="SI"),"SI","NO")</f>
        <v>NO</v>
      </c>
    </row>
    <row r="10" spans="2:28" x14ac:dyDescent="0.2">
      <c r="B10" s="72" t="s">
        <v>16</v>
      </c>
      <c r="C10" s="50" t="s">
        <v>41</v>
      </c>
      <c r="D10" s="28">
        <v>27447</v>
      </c>
      <c r="E10" s="28" t="s">
        <v>112</v>
      </c>
      <c r="F10" s="51">
        <v>1</v>
      </c>
      <c r="G10" s="73">
        <v>1</v>
      </c>
      <c r="H10" s="74" t="s">
        <v>38</v>
      </c>
      <c r="I10" s="74" t="s">
        <v>32</v>
      </c>
      <c r="J10" s="51">
        <v>6</v>
      </c>
      <c r="K10" s="94" t="s">
        <v>39</v>
      </c>
      <c r="L10" s="94" t="s">
        <v>39</v>
      </c>
      <c r="M10" s="75" t="str">
        <f>IF(OR(TablaOrigen[[#This Row],[Asignatura Aprobada]]="SI",TablaOrigen[[#This Row],[Matriculado y Aprobado en 25/26]]="SI"),"SI","NO")</f>
        <v>NO</v>
      </c>
      <c r="O10" t="s">
        <v>16</v>
      </c>
      <c r="P10" s="76" t="s">
        <v>41</v>
      </c>
      <c r="Q10" s="30" t="s">
        <v>160</v>
      </c>
      <c r="R10" s="76" t="s">
        <v>112</v>
      </c>
      <c r="S10" s="76">
        <v>1</v>
      </c>
      <c r="T10" s="76">
        <v>1</v>
      </c>
      <c r="U10" s="76">
        <v>6</v>
      </c>
      <c r="V10" s="77" t="s">
        <v>32</v>
      </c>
      <c r="W10" t="str">
        <f>_xlfn.XLOOKUP(TablaDestino[[#This Row],[ID Asig]],TablaAdaptacionporasignatura[ID Asig],TablaAdaptacionporasignatura[Asignatura Adaptada?],"error")</f>
        <v>NO</v>
      </c>
      <c r="X10" t="str">
        <f>_xlfn.XLOOKUP(TablaDestino[[#This Row],[ID Modulo]],TablaModulosAdaptados[ID Modulo],TablaModulosAdaptados[Módulo Destino Adaptado?])</f>
        <v>NO</v>
      </c>
      <c r="Y10" t="str">
        <f>_xlfn.XLOOKUP(TablaDestino[[#This Row],[ID Asig]],TablaCondicionesParticulares[ID Asig],TablaCondicionesParticulares[Adaptada por condiciones particulares?])</f>
        <v>NO</v>
      </c>
      <c r="Z10" t="str">
        <f>IF(OR(TablaDestino[[#This Row],[Adaptada por Asignaturas?]]="SI",TablaDestino[[#This Row],[Adaptada por Módulo?]]="SI",TablaDestino[[#This Row],[Adaptada por Cond. Particulares?]]="SI"),"SI","NO")</f>
        <v>NO</v>
      </c>
    </row>
    <row r="11" spans="2:28" x14ac:dyDescent="0.2">
      <c r="B11" s="72" t="s">
        <v>16</v>
      </c>
      <c r="C11" s="50" t="s">
        <v>41</v>
      </c>
      <c r="D11" s="28">
        <v>27445</v>
      </c>
      <c r="E11" s="28" t="s">
        <v>113</v>
      </c>
      <c r="F11" s="51">
        <v>1</v>
      </c>
      <c r="G11" s="73">
        <v>1</v>
      </c>
      <c r="H11" s="74" t="s">
        <v>38</v>
      </c>
      <c r="I11" s="74" t="s">
        <v>32</v>
      </c>
      <c r="J11" s="51">
        <v>6</v>
      </c>
      <c r="K11" s="94" t="s">
        <v>39</v>
      </c>
      <c r="L11" s="94" t="s">
        <v>39</v>
      </c>
      <c r="M11" s="75" t="str">
        <f>IF(OR(TablaOrigen[[#This Row],[Asignatura Aprobada]]="SI",TablaOrigen[[#This Row],[Matriculado y Aprobado en 25/26]]="SI"),"SI","NO")</f>
        <v>NO</v>
      </c>
      <c r="O11" t="s">
        <v>16</v>
      </c>
      <c r="P11" s="76" t="s">
        <v>41</v>
      </c>
      <c r="Q11" s="30" t="s">
        <v>162</v>
      </c>
      <c r="R11" s="76" t="s">
        <v>163</v>
      </c>
      <c r="S11" s="76">
        <v>1</v>
      </c>
      <c r="T11" s="76">
        <v>1</v>
      </c>
      <c r="U11" s="76">
        <v>6</v>
      </c>
      <c r="V11" s="77" t="s">
        <v>32</v>
      </c>
      <c r="W11" t="str">
        <f>_xlfn.XLOOKUP(TablaDestino[[#This Row],[ID Asig]],TablaAdaptacionporasignatura[ID Asig],TablaAdaptacionporasignatura[Asignatura Adaptada?],"error")</f>
        <v>NO</v>
      </c>
      <c r="X11" t="str">
        <f>_xlfn.XLOOKUP(TablaDestino[[#This Row],[ID Modulo]],TablaModulosAdaptados[ID Modulo],TablaModulosAdaptados[Módulo Destino Adaptado?])</f>
        <v>NO</v>
      </c>
      <c r="Y11" t="str">
        <f>_xlfn.XLOOKUP(TablaDestino[[#This Row],[ID Asig]],TablaCondicionesParticulares[ID Asig],TablaCondicionesParticulares[Adaptada por condiciones particulares?])</f>
        <v>NO</v>
      </c>
      <c r="Z11" t="str">
        <f>IF(OR(TablaDestino[[#This Row],[Adaptada por Asignaturas?]]="SI",TablaDestino[[#This Row],[Adaptada por Módulo?]]="SI",TablaDestino[[#This Row],[Adaptada por Cond. Particulares?]]="SI"),"SI","NO")</f>
        <v>NO</v>
      </c>
    </row>
    <row r="12" spans="2:28" x14ac:dyDescent="0.2">
      <c r="B12" s="72" t="s">
        <v>16</v>
      </c>
      <c r="C12" s="50" t="s">
        <v>41</v>
      </c>
      <c r="D12" s="28">
        <v>27451</v>
      </c>
      <c r="E12" s="28" t="s">
        <v>106</v>
      </c>
      <c r="F12" s="51">
        <v>1</v>
      </c>
      <c r="G12" s="73">
        <v>2</v>
      </c>
      <c r="H12" s="74" t="s">
        <v>38</v>
      </c>
      <c r="I12" s="74" t="s">
        <v>32</v>
      </c>
      <c r="J12" s="51">
        <v>6</v>
      </c>
      <c r="K12" s="94" t="s">
        <v>39</v>
      </c>
      <c r="L12" s="94" t="s">
        <v>39</v>
      </c>
      <c r="M12" s="75" t="str">
        <f>IF(OR(TablaOrigen[[#This Row],[Asignatura Aprobada]]="SI",TablaOrigen[[#This Row],[Matriculado y Aprobado en 25/26]]="SI"),"SI","NO")</f>
        <v>NO</v>
      </c>
      <c r="O12" t="s">
        <v>16</v>
      </c>
      <c r="P12" s="76" t="s">
        <v>41</v>
      </c>
      <c r="Q12" s="30" t="s">
        <v>152</v>
      </c>
      <c r="R12" s="76" t="s">
        <v>153</v>
      </c>
      <c r="S12" s="76">
        <v>1</v>
      </c>
      <c r="T12" s="76">
        <v>1</v>
      </c>
      <c r="U12" s="76">
        <v>6</v>
      </c>
      <c r="V12" s="77" t="s">
        <v>32</v>
      </c>
      <c r="W12" t="str">
        <f>_xlfn.XLOOKUP(TablaDestino[[#This Row],[ID Asig]],TablaAdaptacionporasignatura[ID Asig],TablaAdaptacionporasignatura[Asignatura Adaptada?],"error")</f>
        <v>NO</v>
      </c>
      <c r="X12" t="str">
        <f>_xlfn.XLOOKUP(TablaDestino[[#This Row],[ID Modulo]],TablaModulosAdaptados[ID Modulo],TablaModulosAdaptados[Módulo Destino Adaptado?])</f>
        <v>NO</v>
      </c>
      <c r="Y12" t="str">
        <f>_xlfn.XLOOKUP(TablaDestino[[#This Row],[ID Asig]],TablaCondicionesParticulares[ID Asig],TablaCondicionesParticulares[Adaptada por condiciones particulares?])</f>
        <v>NO</v>
      </c>
      <c r="Z12" t="str">
        <f>IF(OR(TablaDestino[[#This Row],[Adaptada por Asignaturas?]]="SI",TablaDestino[[#This Row],[Adaptada por Módulo?]]="SI",TablaDestino[[#This Row],[Adaptada por Cond. Particulares?]]="SI"),"SI","NO")</f>
        <v>NO</v>
      </c>
    </row>
    <row r="13" spans="2:28" x14ac:dyDescent="0.2">
      <c r="B13" s="72" t="s">
        <v>16</v>
      </c>
      <c r="C13" s="50" t="s">
        <v>41</v>
      </c>
      <c r="D13" s="28">
        <v>27444</v>
      </c>
      <c r="E13" s="28" t="s">
        <v>110</v>
      </c>
      <c r="F13" s="51">
        <v>1</v>
      </c>
      <c r="G13" s="73">
        <v>2</v>
      </c>
      <c r="H13" s="74" t="s">
        <v>38</v>
      </c>
      <c r="I13" s="74" t="s">
        <v>32</v>
      </c>
      <c r="J13" s="51">
        <v>6</v>
      </c>
      <c r="K13" s="94" t="s">
        <v>39</v>
      </c>
      <c r="L13" s="94" t="s">
        <v>39</v>
      </c>
      <c r="M13" s="75" t="str">
        <f>IF(OR(TablaOrigen[[#This Row],[Asignatura Aprobada]]="SI",TablaOrigen[[#This Row],[Matriculado y Aprobado en 25/26]]="SI"),"SI","NO")</f>
        <v>NO</v>
      </c>
      <c r="O13" t="s">
        <v>16</v>
      </c>
      <c r="P13" s="76" t="s">
        <v>41</v>
      </c>
      <c r="Q13" s="30" t="s">
        <v>155</v>
      </c>
      <c r="R13" s="76" t="s">
        <v>156</v>
      </c>
      <c r="S13" s="76">
        <v>1</v>
      </c>
      <c r="T13" s="76">
        <v>2</v>
      </c>
      <c r="U13" s="76">
        <v>6</v>
      </c>
      <c r="V13" s="77" t="s">
        <v>32</v>
      </c>
      <c r="W13" t="str">
        <f>_xlfn.XLOOKUP(TablaDestino[[#This Row],[ID Asig]],TablaAdaptacionporasignatura[ID Asig],TablaAdaptacionporasignatura[Asignatura Adaptada?],"error")</f>
        <v>NO</v>
      </c>
      <c r="X13" t="str">
        <f>_xlfn.XLOOKUP(TablaDestino[[#This Row],[ID Modulo]],TablaModulosAdaptados[ID Modulo],TablaModulosAdaptados[Módulo Destino Adaptado?])</f>
        <v>NO</v>
      </c>
      <c r="Y13" t="str">
        <f>_xlfn.XLOOKUP(TablaDestino[[#This Row],[ID Asig]],TablaCondicionesParticulares[ID Asig],TablaCondicionesParticulares[Adaptada por condiciones particulares?])</f>
        <v>NO</v>
      </c>
      <c r="Z13" t="str">
        <f>IF(OR(TablaDestino[[#This Row],[Adaptada por Asignaturas?]]="SI",TablaDestino[[#This Row],[Adaptada por Módulo?]]="SI",TablaDestino[[#This Row],[Adaptada por Cond. Particulares?]]="SI"),"SI","NO")</f>
        <v>NO</v>
      </c>
    </row>
    <row r="14" spans="2:28" x14ac:dyDescent="0.2">
      <c r="B14" s="72" t="s">
        <v>16</v>
      </c>
      <c r="C14" s="50" t="s">
        <v>41</v>
      </c>
      <c r="D14" s="28">
        <v>27446</v>
      </c>
      <c r="E14" s="28" t="s">
        <v>114</v>
      </c>
      <c r="F14" s="51">
        <v>1</v>
      </c>
      <c r="G14" s="73">
        <v>2</v>
      </c>
      <c r="H14" s="74" t="s">
        <v>38</v>
      </c>
      <c r="I14" s="74" t="s">
        <v>32</v>
      </c>
      <c r="J14" s="51">
        <v>6</v>
      </c>
      <c r="K14" s="94" t="s">
        <v>39</v>
      </c>
      <c r="L14" s="94" t="s">
        <v>39</v>
      </c>
      <c r="M14" s="75" t="str">
        <f>IF(OR(TablaOrigen[[#This Row],[Asignatura Aprobada]]="SI",TablaOrigen[[#This Row],[Matriculado y Aprobado en 25/26]]="SI"),"SI","NO")</f>
        <v>NO</v>
      </c>
      <c r="O14" t="s">
        <v>16</v>
      </c>
      <c r="P14" s="76" t="s">
        <v>41</v>
      </c>
      <c r="Q14" s="30" t="s">
        <v>158</v>
      </c>
      <c r="R14" s="76" t="s">
        <v>110</v>
      </c>
      <c r="S14" s="76">
        <v>1</v>
      </c>
      <c r="T14" s="76">
        <v>2</v>
      </c>
      <c r="U14" s="76">
        <v>6</v>
      </c>
      <c r="V14" s="77" t="s">
        <v>32</v>
      </c>
      <c r="W14" t="str">
        <f>_xlfn.XLOOKUP(TablaDestino[[#This Row],[ID Asig]],TablaAdaptacionporasignatura[ID Asig],TablaAdaptacionporasignatura[Asignatura Adaptada?],"error")</f>
        <v>NO</v>
      </c>
      <c r="X14" t="str">
        <f>_xlfn.XLOOKUP(TablaDestino[[#This Row],[ID Modulo]],TablaModulosAdaptados[ID Modulo],TablaModulosAdaptados[Módulo Destino Adaptado?])</f>
        <v>NO</v>
      </c>
      <c r="Y14" t="str">
        <f>_xlfn.XLOOKUP(TablaDestino[[#This Row],[ID Asig]],TablaCondicionesParticulares[ID Asig],TablaCondicionesParticulares[Adaptada por condiciones particulares?])</f>
        <v>NO</v>
      </c>
      <c r="Z14" t="str">
        <f>IF(OR(TablaDestino[[#This Row],[Adaptada por Asignaturas?]]="SI",TablaDestino[[#This Row],[Adaptada por Módulo?]]="SI",TablaDestino[[#This Row],[Adaptada por Cond. Particulares?]]="SI"),"SI","NO")</f>
        <v>NO</v>
      </c>
    </row>
    <row r="15" spans="2:28" x14ac:dyDescent="0.2">
      <c r="B15" s="72" t="s">
        <v>16</v>
      </c>
      <c r="C15" s="50" t="s">
        <v>41</v>
      </c>
      <c r="D15" s="28">
        <v>27452</v>
      </c>
      <c r="E15" s="28" t="s">
        <v>115</v>
      </c>
      <c r="F15" s="51">
        <v>1</v>
      </c>
      <c r="G15" s="73">
        <v>2</v>
      </c>
      <c r="H15" s="74" t="s">
        <v>38</v>
      </c>
      <c r="I15" s="74" t="s">
        <v>32</v>
      </c>
      <c r="J15" s="51">
        <v>6</v>
      </c>
      <c r="K15" s="94" t="s">
        <v>39</v>
      </c>
      <c r="L15" s="94" t="s">
        <v>39</v>
      </c>
      <c r="M15" s="75" t="str">
        <f>IF(OR(TablaOrigen[[#This Row],[Asignatura Aprobada]]="SI",TablaOrigen[[#This Row],[Matriculado y Aprobado en 25/26]]="SI"),"SI","NO")</f>
        <v>NO</v>
      </c>
      <c r="O15" t="s">
        <v>16</v>
      </c>
      <c r="P15" s="76" t="s">
        <v>41</v>
      </c>
      <c r="Q15" s="30" t="s">
        <v>159</v>
      </c>
      <c r="R15" s="76" t="s">
        <v>111</v>
      </c>
      <c r="S15" s="76">
        <v>1</v>
      </c>
      <c r="T15" s="76">
        <v>2</v>
      </c>
      <c r="U15" s="76">
        <v>6</v>
      </c>
      <c r="V15" s="77" t="s">
        <v>32</v>
      </c>
      <c r="W15" t="str">
        <f>_xlfn.XLOOKUP(TablaDestino[[#This Row],[ID Asig]],TablaAdaptacionporasignatura[ID Asig],TablaAdaptacionporasignatura[Asignatura Adaptada?],"error")</f>
        <v>NO</v>
      </c>
      <c r="X15" t="str">
        <f>_xlfn.XLOOKUP(TablaDestino[[#This Row],[ID Modulo]],TablaModulosAdaptados[ID Modulo],TablaModulosAdaptados[Módulo Destino Adaptado?])</f>
        <v>NO</v>
      </c>
      <c r="Y15" t="str">
        <f>_xlfn.XLOOKUP(TablaDestino[[#This Row],[ID Asig]],TablaCondicionesParticulares[ID Asig],TablaCondicionesParticulares[Adaptada por condiciones particulares?])</f>
        <v>NO</v>
      </c>
      <c r="Z15" t="str">
        <f>IF(OR(TablaDestino[[#This Row],[Adaptada por Asignaturas?]]="SI",TablaDestino[[#This Row],[Adaptada por Módulo?]]="SI",TablaDestino[[#This Row],[Adaptada por Cond. Particulares?]]="SI"),"SI","NO")</f>
        <v>NO</v>
      </c>
    </row>
    <row r="16" spans="2:28" x14ac:dyDescent="0.2">
      <c r="B16" s="72" t="s">
        <v>16</v>
      </c>
      <c r="C16" s="50" t="s">
        <v>41</v>
      </c>
      <c r="D16" s="28">
        <v>27442</v>
      </c>
      <c r="E16" s="28" t="s">
        <v>107</v>
      </c>
      <c r="F16" s="51">
        <v>1</v>
      </c>
      <c r="G16" s="73" t="s">
        <v>151</v>
      </c>
      <c r="H16" s="74" t="s">
        <v>38</v>
      </c>
      <c r="I16" s="74" t="s">
        <v>32</v>
      </c>
      <c r="J16" s="51">
        <v>6</v>
      </c>
      <c r="K16" s="94" t="s">
        <v>39</v>
      </c>
      <c r="L16" s="94" t="s">
        <v>39</v>
      </c>
      <c r="M16" s="75" t="str">
        <f>IF(OR(TablaOrigen[[#This Row],[Asignatura Aprobada]]="SI",TablaOrigen[[#This Row],[Matriculado y Aprobado en 25/26]]="SI"),"SI","NO")</f>
        <v>NO</v>
      </c>
      <c r="O16" t="s">
        <v>16</v>
      </c>
      <c r="P16" s="76" t="s">
        <v>41</v>
      </c>
      <c r="Q16" s="30" t="s">
        <v>161</v>
      </c>
      <c r="R16" s="76" t="s">
        <v>12</v>
      </c>
      <c r="S16" s="76">
        <v>1</v>
      </c>
      <c r="T16" s="76">
        <v>2</v>
      </c>
      <c r="U16" s="76">
        <v>6</v>
      </c>
      <c r="V16" s="77" t="s">
        <v>32</v>
      </c>
      <c r="W16" t="str">
        <f>_xlfn.XLOOKUP(TablaDestino[[#This Row],[ID Asig]],TablaAdaptacionporasignatura[ID Asig],TablaAdaptacionporasignatura[Asignatura Adaptada?],"error")</f>
        <v>NO</v>
      </c>
      <c r="X16" t="str">
        <f>_xlfn.XLOOKUP(TablaDestino[[#This Row],[ID Modulo]],TablaModulosAdaptados[ID Modulo],TablaModulosAdaptados[Módulo Destino Adaptado?])</f>
        <v>NO</v>
      </c>
      <c r="Y16" t="str">
        <f>_xlfn.XLOOKUP(TablaDestino[[#This Row],[ID Asig]],TablaCondicionesParticulares[ID Asig],TablaCondicionesParticulares[Adaptada por condiciones particulares?])</f>
        <v>NO</v>
      </c>
      <c r="Z16" t="str">
        <f>IF(OR(TablaDestino[[#This Row],[Adaptada por Asignaturas?]]="SI",TablaDestino[[#This Row],[Adaptada por Módulo?]]="SI",TablaDestino[[#This Row],[Adaptada por Cond. Particulares?]]="SI"),"SI","NO")</f>
        <v>NO</v>
      </c>
    </row>
    <row r="17" spans="2:26" x14ac:dyDescent="0.2">
      <c r="B17" s="72" t="s">
        <v>16</v>
      </c>
      <c r="C17" s="50" t="s">
        <v>41</v>
      </c>
      <c r="D17" s="28">
        <v>27449</v>
      </c>
      <c r="E17" s="28" t="s">
        <v>111</v>
      </c>
      <c r="F17" s="51">
        <v>1</v>
      </c>
      <c r="G17" s="73" t="s">
        <v>151</v>
      </c>
      <c r="H17" s="74" t="s">
        <v>38</v>
      </c>
      <c r="I17" s="74" t="s">
        <v>32</v>
      </c>
      <c r="J17" s="51">
        <v>6</v>
      </c>
      <c r="K17" s="94" t="s">
        <v>39</v>
      </c>
      <c r="L17" s="94" t="s">
        <v>39</v>
      </c>
      <c r="M17" s="75" t="str">
        <f>IF(OR(TablaOrigen[[#This Row],[Asignatura Aprobada]]="SI",TablaOrigen[[#This Row],[Matriculado y Aprobado en 25/26]]="SI"),"SI","NO")</f>
        <v>NO</v>
      </c>
      <c r="O17" t="s">
        <v>16</v>
      </c>
      <c r="P17" s="76" t="s">
        <v>41</v>
      </c>
      <c r="Q17" s="30" t="s">
        <v>164</v>
      </c>
      <c r="R17" s="76" t="s">
        <v>165</v>
      </c>
      <c r="S17" s="76">
        <v>1</v>
      </c>
      <c r="T17" s="76">
        <v>2</v>
      </c>
      <c r="U17" s="76">
        <v>6</v>
      </c>
      <c r="V17" s="77" t="s">
        <v>32</v>
      </c>
      <c r="W17" t="str">
        <f>_xlfn.XLOOKUP(TablaDestino[[#This Row],[ID Asig]],TablaAdaptacionporasignatura[ID Asig],TablaAdaptacionporasignatura[Asignatura Adaptada?],"error")</f>
        <v>NO</v>
      </c>
      <c r="X17" t="str">
        <f>_xlfn.XLOOKUP(TablaDestino[[#This Row],[ID Modulo]],TablaModulosAdaptados[ID Modulo],TablaModulosAdaptados[Módulo Destino Adaptado?])</f>
        <v>NO</v>
      </c>
      <c r="Y17" t="str">
        <f>_xlfn.XLOOKUP(TablaDestino[[#This Row],[ID Asig]],TablaCondicionesParticulares[ID Asig],TablaCondicionesParticulares[Adaptada por condiciones particulares?])</f>
        <v>NO</v>
      </c>
      <c r="Z17" t="str">
        <f>IF(OR(TablaDestino[[#This Row],[Adaptada por Asignaturas?]]="SI",TablaDestino[[#This Row],[Adaptada por Módulo?]]="SI",TablaDestino[[#This Row],[Adaptada por Cond. Particulares?]]="SI"),"SI","NO")</f>
        <v>NO</v>
      </c>
    </row>
    <row r="18" spans="2:26" x14ac:dyDescent="0.2">
      <c r="B18" s="72" t="s">
        <v>17</v>
      </c>
      <c r="C18" s="50" t="s">
        <v>103</v>
      </c>
      <c r="D18" s="28">
        <v>27450</v>
      </c>
      <c r="E18" s="28" t="s">
        <v>116</v>
      </c>
      <c r="F18" s="51">
        <v>2</v>
      </c>
      <c r="G18" s="73">
        <v>1</v>
      </c>
      <c r="H18" s="74" t="s">
        <v>38</v>
      </c>
      <c r="I18" s="74" t="s">
        <v>24</v>
      </c>
      <c r="J18" s="51">
        <v>6</v>
      </c>
      <c r="K18" s="94" t="s">
        <v>39</v>
      </c>
      <c r="L18" s="94" t="s">
        <v>39</v>
      </c>
      <c r="M18" s="75" t="str">
        <f>IF(OR(TablaOrigen[[#This Row],[Asignatura Aprobada]]="SI",TablaOrigen[[#This Row],[Matriculado y Aprobado en 25/26]]="SI"),"SI","NO")</f>
        <v>NO</v>
      </c>
      <c r="O18" t="s">
        <v>17</v>
      </c>
      <c r="P18" s="76" t="s">
        <v>166</v>
      </c>
      <c r="Q18" s="30" t="s">
        <v>6</v>
      </c>
      <c r="R18" s="76" t="s">
        <v>168</v>
      </c>
      <c r="S18" s="76">
        <v>2</v>
      </c>
      <c r="T18" s="76">
        <v>1</v>
      </c>
      <c r="U18" s="76">
        <v>6</v>
      </c>
      <c r="V18" s="77" t="s">
        <v>24</v>
      </c>
      <c r="W18" t="str">
        <f>_xlfn.XLOOKUP(TablaDestino[[#This Row],[ID Asig]],TablaAdaptacionporasignatura[ID Asig],TablaAdaptacionporasignatura[Asignatura Adaptada?],"error")</f>
        <v>NO</v>
      </c>
      <c r="X18" t="str">
        <f>_xlfn.XLOOKUP(TablaDestino[[#This Row],[ID Modulo]],TablaModulosAdaptados[ID Modulo],TablaModulosAdaptados[Módulo Destino Adaptado?])</f>
        <v>NO</v>
      </c>
      <c r="Y18" t="str">
        <f>_xlfn.XLOOKUP(TablaDestino[[#This Row],[ID Asig]],TablaCondicionesParticulares[ID Asig],TablaCondicionesParticulares[Adaptada por condiciones particulares?])</f>
        <v>NO</v>
      </c>
      <c r="Z18" t="str">
        <f>IF(OR(TablaDestino[[#This Row],[Adaptada por Asignaturas?]]="SI",TablaDestino[[#This Row],[Adaptada por Módulo?]]="SI",TablaDestino[[#This Row],[Adaptada por Cond. Particulares?]]="SI"),"SI","NO")</f>
        <v>NO</v>
      </c>
    </row>
    <row r="19" spans="2:26" x14ac:dyDescent="0.2">
      <c r="B19" s="72" t="s">
        <v>17</v>
      </c>
      <c r="C19" s="50" t="s">
        <v>103</v>
      </c>
      <c r="D19" s="28">
        <v>27456</v>
      </c>
      <c r="E19" s="28" t="s">
        <v>117</v>
      </c>
      <c r="F19" s="51">
        <v>2</v>
      </c>
      <c r="G19" s="73">
        <v>1</v>
      </c>
      <c r="H19" s="74" t="s">
        <v>38</v>
      </c>
      <c r="I19" s="74" t="s">
        <v>24</v>
      </c>
      <c r="J19" s="51">
        <v>6</v>
      </c>
      <c r="K19" s="94" t="s">
        <v>39</v>
      </c>
      <c r="L19" s="94" t="s">
        <v>39</v>
      </c>
      <c r="M19" s="75" t="str">
        <f>IF(OR(TablaOrigen[[#This Row],[Asignatura Aprobada]]="SI",TablaOrigen[[#This Row],[Matriculado y Aprobado en 25/26]]="SI"),"SI","NO")</f>
        <v>NO</v>
      </c>
      <c r="O19" t="s">
        <v>17</v>
      </c>
      <c r="P19" s="76" t="s">
        <v>166</v>
      </c>
      <c r="Q19" s="30" t="s">
        <v>7</v>
      </c>
      <c r="R19" s="76" t="s">
        <v>169</v>
      </c>
      <c r="S19" s="76">
        <v>2</v>
      </c>
      <c r="T19" s="76">
        <v>1</v>
      </c>
      <c r="U19" s="76">
        <v>6</v>
      </c>
      <c r="V19" s="77" t="s">
        <v>24</v>
      </c>
      <c r="W19" t="str">
        <f>_xlfn.XLOOKUP(TablaDestino[[#This Row],[ID Asig]],TablaAdaptacionporasignatura[ID Asig],TablaAdaptacionporasignatura[Asignatura Adaptada?],"error")</f>
        <v>NO</v>
      </c>
      <c r="X19" t="str">
        <f>_xlfn.XLOOKUP(TablaDestino[[#This Row],[ID Modulo]],TablaModulosAdaptados[ID Modulo],TablaModulosAdaptados[Módulo Destino Adaptado?])</f>
        <v>NO</v>
      </c>
      <c r="Y19" t="str">
        <f>_xlfn.XLOOKUP(TablaDestino[[#This Row],[ID Asig]],TablaCondicionesParticulares[ID Asig],TablaCondicionesParticulares[Adaptada por condiciones particulares?])</f>
        <v>NO</v>
      </c>
      <c r="Z19" t="str">
        <f>IF(OR(TablaDestino[[#This Row],[Adaptada por Asignaturas?]]="SI",TablaDestino[[#This Row],[Adaptada por Módulo?]]="SI",TablaDestino[[#This Row],[Adaptada por Cond. Particulares?]]="SI"),"SI","NO")</f>
        <v>NO</v>
      </c>
    </row>
    <row r="20" spans="2:26" x14ac:dyDescent="0.2">
      <c r="B20" s="72" t="s">
        <v>17</v>
      </c>
      <c r="C20" s="50" t="s">
        <v>103</v>
      </c>
      <c r="D20" s="28">
        <v>27453</v>
      </c>
      <c r="E20" s="28" t="s">
        <v>118</v>
      </c>
      <c r="F20" s="51">
        <v>2</v>
      </c>
      <c r="G20" s="73">
        <v>1</v>
      </c>
      <c r="H20" s="74" t="s">
        <v>38</v>
      </c>
      <c r="I20" s="74" t="s">
        <v>24</v>
      </c>
      <c r="J20" s="51">
        <v>6</v>
      </c>
      <c r="K20" s="94" t="s">
        <v>39</v>
      </c>
      <c r="L20" s="94" t="s">
        <v>39</v>
      </c>
      <c r="M20" s="75" t="str">
        <f>IF(OR(TablaOrigen[[#This Row],[Asignatura Aprobada]]="SI",TablaOrigen[[#This Row],[Matriculado y Aprobado en 25/26]]="SI"),"SI","NO")</f>
        <v>NO</v>
      </c>
      <c r="O20" t="s">
        <v>17</v>
      </c>
      <c r="P20" s="76" t="s">
        <v>166</v>
      </c>
      <c r="Q20" s="30" t="s">
        <v>10</v>
      </c>
      <c r="R20" s="76" t="s">
        <v>170</v>
      </c>
      <c r="S20" s="76">
        <v>2</v>
      </c>
      <c r="T20" s="76">
        <v>1</v>
      </c>
      <c r="U20" s="76">
        <v>6</v>
      </c>
      <c r="V20" s="77" t="s">
        <v>24</v>
      </c>
      <c r="W20" t="str">
        <f>_xlfn.XLOOKUP(TablaDestino[[#This Row],[ID Asig]],TablaAdaptacionporasignatura[ID Asig],TablaAdaptacionporasignatura[Asignatura Adaptada?],"error")</f>
        <v>NO</v>
      </c>
      <c r="X20" t="str">
        <f>_xlfn.XLOOKUP(TablaDestino[[#This Row],[ID Modulo]],TablaModulosAdaptados[ID Modulo],TablaModulosAdaptados[Módulo Destino Adaptado?])</f>
        <v>NO</v>
      </c>
      <c r="Y20" t="str">
        <f>_xlfn.XLOOKUP(TablaDestino[[#This Row],[ID Asig]],TablaCondicionesParticulares[ID Asig],TablaCondicionesParticulares[Adaptada por condiciones particulares?])</f>
        <v>NO</v>
      </c>
      <c r="Z20" t="str">
        <f>IF(OR(TablaDestino[[#This Row],[Adaptada por Asignaturas?]]="SI",TablaDestino[[#This Row],[Adaptada por Módulo?]]="SI",TablaDestino[[#This Row],[Adaptada por Cond. Particulares?]]="SI"),"SI","NO")</f>
        <v>NO</v>
      </c>
    </row>
    <row r="21" spans="2:26" x14ac:dyDescent="0.2">
      <c r="B21" s="72" t="s">
        <v>17</v>
      </c>
      <c r="C21" s="50" t="s">
        <v>103</v>
      </c>
      <c r="D21" s="28">
        <v>27454</v>
      </c>
      <c r="E21" s="28" t="s">
        <v>122</v>
      </c>
      <c r="F21" s="51">
        <v>2</v>
      </c>
      <c r="G21" s="73">
        <v>1</v>
      </c>
      <c r="H21" s="74" t="s">
        <v>38</v>
      </c>
      <c r="I21" s="74" t="s">
        <v>24</v>
      </c>
      <c r="J21" s="51">
        <v>6</v>
      </c>
      <c r="K21" s="94" t="s">
        <v>39</v>
      </c>
      <c r="L21" s="94" t="s">
        <v>39</v>
      </c>
      <c r="M21" s="75" t="str">
        <f>IF(OR(TablaOrigen[[#This Row],[Asignatura Aprobada]]="SI",TablaOrigen[[#This Row],[Matriculado y Aprobado en 25/26]]="SI"),"SI","NO")</f>
        <v>NO</v>
      </c>
      <c r="O21" t="s">
        <v>17</v>
      </c>
      <c r="P21" s="76" t="s">
        <v>166</v>
      </c>
      <c r="Q21" s="30" t="s">
        <v>11</v>
      </c>
      <c r="R21" s="76" t="s">
        <v>120</v>
      </c>
      <c r="S21" s="76">
        <v>2</v>
      </c>
      <c r="T21" s="76">
        <v>1</v>
      </c>
      <c r="U21" s="76">
        <v>6</v>
      </c>
      <c r="V21" s="77" t="s">
        <v>24</v>
      </c>
      <c r="W21" t="str">
        <f>_xlfn.XLOOKUP(TablaDestino[[#This Row],[ID Asig]],TablaAdaptacionporasignatura[ID Asig],TablaAdaptacionporasignatura[Asignatura Adaptada?],"error")</f>
        <v>NO</v>
      </c>
      <c r="X21" t="str">
        <f>_xlfn.XLOOKUP(TablaDestino[[#This Row],[ID Modulo]],TablaModulosAdaptados[ID Modulo],TablaModulosAdaptados[Módulo Destino Adaptado?])</f>
        <v>NO</v>
      </c>
      <c r="Y21" t="str">
        <f>_xlfn.XLOOKUP(TablaDestino[[#This Row],[ID Asig]],TablaCondicionesParticulares[ID Asig],TablaCondicionesParticulares[Adaptada por condiciones particulares?])</f>
        <v>NO</v>
      </c>
      <c r="Z21" t="str">
        <f>IF(OR(TablaDestino[[#This Row],[Adaptada por Asignaturas?]]="SI",TablaDestino[[#This Row],[Adaptada por Módulo?]]="SI",TablaDestino[[#This Row],[Adaptada por Cond. Particulares?]]="SI"),"SI","NO")</f>
        <v>NO</v>
      </c>
    </row>
    <row r="22" spans="2:26" x14ac:dyDescent="0.2">
      <c r="B22" s="72" t="s">
        <v>19</v>
      </c>
      <c r="C22" s="50" t="s">
        <v>105</v>
      </c>
      <c r="D22" s="28">
        <v>27485</v>
      </c>
      <c r="E22" s="28" t="s">
        <v>135</v>
      </c>
      <c r="F22" s="51">
        <v>2</v>
      </c>
      <c r="G22" s="73">
        <v>1</v>
      </c>
      <c r="H22" s="74" t="s">
        <v>38</v>
      </c>
      <c r="I22" s="74" t="s">
        <v>24</v>
      </c>
      <c r="J22" s="51">
        <v>6</v>
      </c>
      <c r="K22" s="94" t="s">
        <v>39</v>
      </c>
      <c r="L22" s="94" t="s">
        <v>39</v>
      </c>
      <c r="M22" s="75" t="str">
        <f>IF(OR(TablaOrigen[[#This Row],[Asignatura Aprobada]]="SI",TablaOrigen[[#This Row],[Matriculado y Aprobado en 25/26]]="SI"),"SI","NO")</f>
        <v>NO</v>
      </c>
      <c r="O22" t="s">
        <v>17</v>
      </c>
      <c r="P22" s="76" t="s">
        <v>166</v>
      </c>
      <c r="Q22" s="30" t="s">
        <v>9</v>
      </c>
      <c r="R22" s="76" t="s">
        <v>122</v>
      </c>
      <c r="S22" s="76">
        <v>2</v>
      </c>
      <c r="T22" s="76">
        <v>1</v>
      </c>
      <c r="U22" s="76">
        <v>6</v>
      </c>
      <c r="V22" s="77" t="s">
        <v>24</v>
      </c>
      <c r="W22" t="str">
        <f>_xlfn.XLOOKUP(TablaDestino[[#This Row],[ID Asig]],TablaAdaptacionporasignatura[ID Asig],TablaAdaptacionporasignatura[Asignatura Adaptada?],"error")</f>
        <v>NO</v>
      </c>
      <c r="X22" t="str">
        <f>_xlfn.XLOOKUP(TablaDestino[[#This Row],[ID Modulo]],TablaModulosAdaptados[ID Modulo],TablaModulosAdaptados[Módulo Destino Adaptado?])</f>
        <v>NO</v>
      </c>
      <c r="Y22" t="str">
        <f>_xlfn.XLOOKUP(TablaDestino[[#This Row],[ID Asig]],TablaCondicionesParticulares[ID Asig],TablaCondicionesParticulares[Adaptada por condiciones particulares?])</f>
        <v>NO</v>
      </c>
      <c r="Z22" t="str">
        <f>IF(OR(TablaDestino[[#This Row],[Adaptada por Asignaturas?]]="SI",TablaDestino[[#This Row],[Adaptada por Módulo?]]="SI",TablaDestino[[#This Row],[Adaptada por Cond. Particulares?]]="SI"),"SI","NO")</f>
        <v>NO</v>
      </c>
    </row>
    <row r="23" spans="2:26" x14ac:dyDescent="0.2">
      <c r="B23" s="72" t="s">
        <v>17</v>
      </c>
      <c r="C23" s="50" t="s">
        <v>103</v>
      </c>
      <c r="D23" s="28">
        <v>27457</v>
      </c>
      <c r="E23" s="28" t="s">
        <v>119</v>
      </c>
      <c r="F23" s="51">
        <v>2</v>
      </c>
      <c r="G23" s="73">
        <v>2</v>
      </c>
      <c r="H23" s="74" t="s">
        <v>38</v>
      </c>
      <c r="I23" s="74" t="s">
        <v>24</v>
      </c>
      <c r="J23" s="51">
        <v>6</v>
      </c>
      <c r="K23" s="94" t="s">
        <v>39</v>
      </c>
      <c r="L23" s="94" t="s">
        <v>39</v>
      </c>
      <c r="M23" s="75" t="str">
        <f>IF(OR(TablaOrigen[[#This Row],[Asignatura Aprobada]]="SI",TablaOrigen[[#This Row],[Matriculado y Aprobado en 25/26]]="SI"),"SI","NO")</f>
        <v>NO</v>
      </c>
      <c r="O23" t="s">
        <v>17</v>
      </c>
      <c r="P23" s="76" t="s">
        <v>166</v>
      </c>
      <c r="Q23" s="30" t="s">
        <v>8</v>
      </c>
      <c r="R23" s="76" t="s">
        <v>167</v>
      </c>
      <c r="S23" s="76">
        <v>2</v>
      </c>
      <c r="T23" s="76">
        <v>2</v>
      </c>
      <c r="U23" s="76">
        <v>6</v>
      </c>
      <c r="V23" s="77" t="s">
        <v>24</v>
      </c>
      <c r="W23" t="str">
        <f>_xlfn.XLOOKUP(TablaDestino[[#This Row],[ID Asig]],TablaAdaptacionporasignatura[ID Asig],TablaAdaptacionporasignatura[Asignatura Adaptada?],"error")</f>
        <v>NO</v>
      </c>
      <c r="X23" t="str">
        <f>_xlfn.XLOOKUP(TablaDestino[[#This Row],[ID Modulo]],TablaModulosAdaptados[ID Modulo],TablaModulosAdaptados[Módulo Destino Adaptado?])</f>
        <v>NO</v>
      </c>
      <c r="Y23" t="str">
        <f>_xlfn.XLOOKUP(TablaDestino[[#This Row],[ID Asig]],TablaCondicionesParticulares[ID Asig],TablaCondicionesParticulares[Adaptada por condiciones particulares?])</f>
        <v>NO</v>
      </c>
      <c r="Z23" t="str">
        <f>IF(OR(TablaDestino[[#This Row],[Adaptada por Asignaturas?]]="SI",TablaDestino[[#This Row],[Adaptada por Módulo?]]="SI",TablaDestino[[#This Row],[Adaptada por Cond. Particulares?]]="SI"),"SI","NO")</f>
        <v>NO</v>
      </c>
    </row>
    <row r="24" spans="2:26" x14ac:dyDescent="0.2">
      <c r="B24" s="72" t="s">
        <v>17</v>
      </c>
      <c r="C24" s="50" t="s">
        <v>103</v>
      </c>
      <c r="D24" s="28">
        <v>27459</v>
      </c>
      <c r="E24" s="28" t="s">
        <v>120</v>
      </c>
      <c r="F24" s="51">
        <v>2</v>
      </c>
      <c r="G24" s="73">
        <v>2</v>
      </c>
      <c r="H24" s="74" t="s">
        <v>38</v>
      </c>
      <c r="I24" s="74" t="s">
        <v>24</v>
      </c>
      <c r="J24" s="51">
        <v>6</v>
      </c>
      <c r="K24" s="94" t="s">
        <v>39</v>
      </c>
      <c r="L24" s="94" t="s">
        <v>39</v>
      </c>
      <c r="M24" s="75" t="str">
        <f>IF(OR(TablaOrigen[[#This Row],[Asignatura Aprobada]]="SI",TablaOrigen[[#This Row],[Matriculado y Aprobado en 25/26]]="SI"),"SI","NO")</f>
        <v>NO</v>
      </c>
      <c r="O24" t="s">
        <v>17</v>
      </c>
      <c r="P24" s="76" t="s">
        <v>166</v>
      </c>
      <c r="Q24" s="30" t="s">
        <v>4</v>
      </c>
      <c r="R24" s="76" t="s">
        <v>171</v>
      </c>
      <c r="S24" s="76">
        <v>2</v>
      </c>
      <c r="T24" s="76">
        <v>2</v>
      </c>
      <c r="U24" s="76">
        <v>6</v>
      </c>
      <c r="V24" s="77" t="s">
        <v>24</v>
      </c>
      <c r="W24" t="str">
        <f>_xlfn.XLOOKUP(TablaDestino[[#This Row],[ID Asig]],TablaAdaptacionporasignatura[ID Asig],TablaAdaptacionporasignatura[Asignatura Adaptada?],"error")</f>
        <v>NO</v>
      </c>
      <c r="X24" t="str">
        <f>_xlfn.XLOOKUP(TablaDestino[[#This Row],[ID Modulo]],TablaModulosAdaptados[ID Modulo],TablaModulosAdaptados[Módulo Destino Adaptado?])</f>
        <v>NO</v>
      </c>
      <c r="Y24" t="str">
        <f>_xlfn.XLOOKUP(TablaDestino[[#This Row],[ID Asig]],TablaCondicionesParticulares[ID Asig],TablaCondicionesParticulares[Adaptada por condiciones particulares?])</f>
        <v>NO</v>
      </c>
      <c r="Z24" t="str">
        <f>IF(OR(TablaDestino[[#This Row],[Adaptada por Asignaturas?]]="SI",TablaDestino[[#This Row],[Adaptada por Módulo?]]="SI",TablaDestino[[#This Row],[Adaptada por Cond. Particulares?]]="SI"),"SI","NO")</f>
        <v>NO</v>
      </c>
    </row>
    <row r="25" spans="2:26" x14ac:dyDescent="0.2">
      <c r="B25" s="72" t="s">
        <v>17</v>
      </c>
      <c r="C25" s="50" t="s">
        <v>103</v>
      </c>
      <c r="D25" s="28">
        <v>27458</v>
      </c>
      <c r="E25" s="28" t="s">
        <v>121</v>
      </c>
      <c r="F25" s="51">
        <v>2</v>
      </c>
      <c r="G25" s="73">
        <v>2</v>
      </c>
      <c r="H25" s="74" t="s">
        <v>38</v>
      </c>
      <c r="I25" s="74" t="s">
        <v>24</v>
      </c>
      <c r="J25" s="51">
        <v>6</v>
      </c>
      <c r="K25" s="94" t="s">
        <v>39</v>
      </c>
      <c r="L25" s="94" t="s">
        <v>39</v>
      </c>
      <c r="M25" s="75" t="str">
        <f>IF(OR(TablaOrigen[[#This Row],[Asignatura Aprobada]]="SI",TablaOrigen[[#This Row],[Matriculado y Aprobado en 25/26]]="SI"),"SI","NO")</f>
        <v>NO</v>
      </c>
      <c r="O25" t="s">
        <v>17</v>
      </c>
      <c r="P25" s="76" t="s">
        <v>166</v>
      </c>
      <c r="Q25" s="30" t="s">
        <v>3</v>
      </c>
      <c r="R25" s="76" t="s">
        <v>172</v>
      </c>
      <c r="S25" s="76">
        <v>2</v>
      </c>
      <c r="T25" s="76">
        <v>2</v>
      </c>
      <c r="U25" s="76">
        <v>6</v>
      </c>
      <c r="V25" s="77" t="s">
        <v>24</v>
      </c>
      <c r="W25" t="str">
        <f>_xlfn.XLOOKUP(TablaDestino[[#This Row],[ID Asig]],TablaAdaptacionporasignatura[ID Asig],TablaAdaptacionporasignatura[Asignatura Adaptada?],"error")</f>
        <v>NO</v>
      </c>
      <c r="X25" t="str">
        <f>_xlfn.XLOOKUP(TablaDestino[[#This Row],[ID Modulo]],TablaModulosAdaptados[ID Modulo],TablaModulosAdaptados[Módulo Destino Adaptado?])</f>
        <v>NO</v>
      </c>
      <c r="Y25" t="str">
        <f>_xlfn.XLOOKUP(TablaDestino[[#This Row],[ID Asig]],TablaCondicionesParticulares[ID Asig],TablaCondicionesParticulares[Adaptada por condiciones particulares?])</f>
        <v>NO</v>
      </c>
      <c r="Z25" t="str">
        <f>IF(OR(TablaDestino[[#This Row],[Adaptada por Asignaturas?]]="SI",TablaDestino[[#This Row],[Adaptada por Módulo?]]="SI",TablaDestino[[#This Row],[Adaptada por Cond. Particulares?]]="SI"),"SI","NO")</f>
        <v>NO</v>
      </c>
    </row>
    <row r="26" spans="2:26" x14ac:dyDescent="0.2">
      <c r="B26" s="72" t="s">
        <v>17</v>
      </c>
      <c r="C26" s="50" t="s">
        <v>103</v>
      </c>
      <c r="D26" s="28">
        <v>27455</v>
      </c>
      <c r="E26" s="28" t="s">
        <v>123</v>
      </c>
      <c r="F26" s="51">
        <v>2</v>
      </c>
      <c r="G26" s="73">
        <v>2</v>
      </c>
      <c r="H26" s="74" t="s">
        <v>38</v>
      </c>
      <c r="I26" s="74" t="s">
        <v>24</v>
      </c>
      <c r="J26" s="51">
        <v>6</v>
      </c>
      <c r="K26" s="94" t="s">
        <v>39</v>
      </c>
      <c r="L26" s="94" t="s">
        <v>39</v>
      </c>
      <c r="M26" s="75" t="str">
        <f>IF(OR(TablaOrigen[[#This Row],[Asignatura Aprobada]]="SI",TablaOrigen[[#This Row],[Matriculado y Aprobado en 25/26]]="SI"),"SI","NO")</f>
        <v>NO</v>
      </c>
      <c r="O26" t="s">
        <v>19</v>
      </c>
      <c r="P26" s="76" t="s">
        <v>173</v>
      </c>
      <c r="Q26" s="30" t="s">
        <v>196</v>
      </c>
      <c r="R26" s="76" t="s">
        <v>135</v>
      </c>
      <c r="S26" s="76">
        <v>2</v>
      </c>
      <c r="T26" s="76">
        <v>2</v>
      </c>
      <c r="U26" s="76">
        <v>6</v>
      </c>
      <c r="V26" s="77" t="s">
        <v>24</v>
      </c>
      <c r="W26" t="str">
        <f>_xlfn.XLOOKUP(TablaDestino[[#This Row],[ID Asig]],TablaAdaptacionporasignatura[ID Asig],TablaAdaptacionporasignatura[Asignatura Adaptada?],"error")</f>
        <v>NO</v>
      </c>
      <c r="X26" t="str">
        <f>_xlfn.XLOOKUP(TablaDestino[[#This Row],[ID Modulo]],TablaModulosAdaptados[ID Modulo],TablaModulosAdaptados[Módulo Destino Adaptado?])</f>
        <v>NO</v>
      </c>
      <c r="Y26" t="str">
        <f>_xlfn.XLOOKUP(TablaDestino[[#This Row],[ID Asig]],TablaCondicionesParticulares[ID Asig],TablaCondicionesParticulares[Adaptada por condiciones particulares?])</f>
        <v>NO</v>
      </c>
      <c r="Z26" t="str">
        <f>IF(OR(TablaDestino[[#This Row],[Adaptada por Asignaturas?]]="SI",TablaDestino[[#This Row],[Adaptada por Módulo?]]="SI",TablaDestino[[#This Row],[Adaptada por Cond. Particulares?]]="SI"),"SI","NO")</f>
        <v>NO</v>
      </c>
    </row>
    <row r="27" spans="2:26" x14ac:dyDescent="0.2">
      <c r="B27" s="72" t="s">
        <v>19</v>
      </c>
      <c r="C27" s="50" t="s">
        <v>105</v>
      </c>
      <c r="D27" s="28">
        <v>27484</v>
      </c>
      <c r="E27" s="28" t="s">
        <v>136</v>
      </c>
      <c r="F27" s="51">
        <v>2</v>
      </c>
      <c r="G27" s="73">
        <v>2</v>
      </c>
      <c r="H27" s="74" t="s">
        <v>38</v>
      </c>
      <c r="I27" s="74" t="s">
        <v>24</v>
      </c>
      <c r="J27" s="51">
        <v>6</v>
      </c>
      <c r="K27" s="94" t="s">
        <v>39</v>
      </c>
      <c r="L27" s="94" t="s">
        <v>39</v>
      </c>
      <c r="M27" s="75" t="str">
        <f>IF(OR(TablaOrigen[[#This Row],[Asignatura Aprobada]]="SI",TablaOrigen[[#This Row],[Matriculado y Aprobado en 25/26]]="SI"),"SI","NO")</f>
        <v>NO</v>
      </c>
      <c r="O27" t="s">
        <v>19</v>
      </c>
      <c r="P27" s="76" t="s">
        <v>173</v>
      </c>
      <c r="Q27" s="30" t="s">
        <v>197</v>
      </c>
      <c r="R27" s="76" t="s">
        <v>198</v>
      </c>
      <c r="S27" s="76">
        <v>2</v>
      </c>
      <c r="T27" s="76">
        <v>2</v>
      </c>
      <c r="U27" s="76">
        <v>6</v>
      </c>
      <c r="V27" s="77" t="s">
        <v>24</v>
      </c>
      <c r="W27" t="str">
        <f>_xlfn.XLOOKUP(TablaDestino[[#This Row],[ID Asig]],TablaAdaptacionporasignatura[ID Asig],TablaAdaptacionporasignatura[Asignatura Adaptada?],"error")</f>
        <v>NO</v>
      </c>
      <c r="X27" t="str">
        <f>_xlfn.XLOOKUP(TablaDestino[[#This Row],[ID Modulo]],TablaModulosAdaptados[ID Modulo],TablaModulosAdaptados[Módulo Destino Adaptado?])</f>
        <v>NO</v>
      </c>
      <c r="Y27" t="str">
        <f>_xlfn.XLOOKUP(TablaDestino[[#This Row],[ID Asig]],TablaCondicionesParticulares[ID Asig],TablaCondicionesParticulares[Adaptada por condiciones particulares?])</f>
        <v>NO</v>
      </c>
      <c r="Z27" t="str">
        <f>IF(OR(TablaDestino[[#This Row],[Adaptada por Asignaturas?]]="SI",TablaDestino[[#This Row],[Adaptada por Módulo?]]="SI",TablaDestino[[#This Row],[Adaptada por Cond. Particulares?]]="SI"),"SI","NO")</f>
        <v>NO</v>
      </c>
    </row>
    <row r="28" spans="2:26" x14ac:dyDescent="0.2">
      <c r="B28" s="72" t="s">
        <v>19</v>
      </c>
      <c r="C28" s="50" t="s">
        <v>105</v>
      </c>
      <c r="D28" s="28">
        <v>27492</v>
      </c>
      <c r="E28" s="28" t="s">
        <v>125</v>
      </c>
      <c r="F28" s="51">
        <v>3</v>
      </c>
      <c r="G28" s="73">
        <v>1</v>
      </c>
      <c r="H28" s="74" t="s">
        <v>38</v>
      </c>
      <c r="I28" s="74" t="s">
        <v>24</v>
      </c>
      <c r="J28" s="51">
        <v>6</v>
      </c>
      <c r="K28" s="94" t="s">
        <v>39</v>
      </c>
      <c r="L28" s="94" t="s">
        <v>39</v>
      </c>
      <c r="M28" s="75" t="str">
        <f>IF(OR(TablaOrigen[[#This Row],[Asignatura Aprobada]]="SI",TablaOrigen[[#This Row],[Matriculado y Aprobado en 25/26]]="SI"),"SI","NO")</f>
        <v>NO</v>
      </c>
      <c r="O28" t="s">
        <v>19</v>
      </c>
      <c r="P28" s="96" t="s">
        <v>173</v>
      </c>
      <c r="Q28" s="30" t="s">
        <v>201</v>
      </c>
      <c r="R28" s="76" t="s">
        <v>202</v>
      </c>
      <c r="S28" s="76">
        <v>3</v>
      </c>
      <c r="T28" s="76">
        <v>0</v>
      </c>
      <c r="U28" s="76">
        <v>12</v>
      </c>
      <c r="V28" s="77" t="s">
        <v>24</v>
      </c>
      <c r="W28" t="str">
        <f>_xlfn.XLOOKUP(TablaDestino[[#This Row],[ID Asig]],TablaAdaptacionporasignatura[ID Asig],TablaAdaptacionporasignatura[Asignatura Adaptada?],"error")</f>
        <v>NO</v>
      </c>
      <c r="X28" t="str">
        <f>_xlfn.XLOOKUP(TablaDestino[[#This Row],[ID Modulo]],TablaModulosAdaptados[ID Modulo],TablaModulosAdaptados[Módulo Destino Adaptado?])</f>
        <v>NO</v>
      </c>
      <c r="Y28" t="str">
        <f>_xlfn.XLOOKUP(TablaDestino[[#This Row],[ID Asig]],TablaCondicionesParticulares[ID Asig],TablaCondicionesParticulares[Adaptada por condiciones particulares?])</f>
        <v>NO</v>
      </c>
      <c r="Z28" t="str">
        <f>IF(OR(TablaDestino[[#This Row],[Adaptada por Asignaturas?]]="SI",TablaDestino[[#This Row],[Adaptada por Módulo?]]="SI",TablaDestino[[#This Row],[Adaptada por Cond. Particulares?]]="SI"),"SI","NO")</f>
        <v>NO</v>
      </c>
    </row>
    <row r="29" spans="2:26" x14ac:dyDescent="0.2">
      <c r="B29" s="72" t="s">
        <v>19</v>
      </c>
      <c r="C29" s="50" t="s">
        <v>105</v>
      </c>
      <c r="D29" s="28">
        <v>27491</v>
      </c>
      <c r="E29" s="28" t="s">
        <v>127</v>
      </c>
      <c r="F29" s="51">
        <v>3</v>
      </c>
      <c r="G29" s="73">
        <v>1</v>
      </c>
      <c r="H29" s="74" t="s">
        <v>38</v>
      </c>
      <c r="I29" s="74" t="s">
        <v>24</v>
      </c>
      <c r="J29" s="51">
        <v>6</v>
      </c>
      <c r="K29" s="94" t="s">
        <v>39</v>
      </c>
      <c r="L29" s="94" t="s">
        <v>39</v>
      </c>
      <c r="M29" s="75" t="str">
        <f>IF(OR(TablaOrigen[[#This Row],[Asignatura Aprobada]]="SI",TablaOrigen[[#This Row],[Matriculado y Aprobado en 25/26]]="SI"),"SI","NO")</f>
        <v>NO</v>
      </c>
      <c r="O29" t="s">
        <v>19</v>
      </c>
      <c r="P29" s="76" t="s">
        <v>173</v>
      </c>
      <c r="Q29" s="30" t="s">
        <v>176</v>
      </c>
      <c r="R29" s="76" t="s">
        <v>177</v>
      </c>
      <c r="S29" s="76">
        <v>3</v>
      </c>
      <c r="T29" s="76">
        <v>1</v>
      </c>
      <c r="U29" s="76">
        <v>6</v>
      </c>
      <c r="V29" s="77" t="s">
        <v>24</v>
      </c>
      <c r="W29" t="str">
        <f>_xlfn.XLOOKUP(TablaDestino[[#This Row],[ID Asig]],TablaAdaptacionporasignatura[ID Asig],TablaAdaptacionporasignatura[Asignatura Adaptada?],"error")</f>
        <v>NO</v>
      </c>
      <c r="X29" t="str">
        <f>_xlfn.XLOOKUP(TablaDestino[[#This Row],[ID Modulo]],TablaModulosAdaptados[ID Modulo],TablaModulosAdaptados[Módulo Destino Adaptado?])</f>
        <v>NO</v>
      </c>
      <c r="Y29" t="str">
        <f>_xlfn.XLOOKUP(TablaDestino[[#This Row],[ID Asig]],TablaCondicionesParticulares[ID Asig],TablaCondicionesParticulares[Adaptada por condiciones particulares?])</f>
        <v>NO</v>
      </c>
      <c r="Z29" t="str">
        <f>IF(OR(TablaDestino[[#This Row],[Adaptada por Asignaturas?]]="SI",TablaDestino[[#This Row],[Adaptada por Módulo?]]="SI",TablaDestino[[#This Row],[Adaptada por Cond. Particulares?]]="SI"),"SI","NO")</f>
        <v>NO</v>
      </c>
    </row>
    <row r="30" spans="2:26" x14ac:dyDescent="0.2">
      <c r="B30" s="72" t="s">
        <v>19</v>
      </c>
      <c r="C30" s="50" t="s">
        <v>105</v>
      </c>
      <c r="D30" s="28">
        <v>27488</v>
      </c>
      <c r="E30" s="28" t="s">
        <v>128</v>
      </c>
      <c r="F30" s="51">
        <v>3</v>
      </c>
      <c r="G30" s="73">
        <v>1</v>
      </c>
      <c r="H30" s="74" t="s">
        <v>38</v>
      </c>
      <c r="I30" s="74" t="s">
        <v>24</v>
      </c>
      <c r="J30" s="51">
        <v>6</v>
      </c>
      <c r="K30" s="94" t="s">
        <v>39</v>
      </c>
      <c r="L30" s="94" t="s">
        <v>39</v>
      </c>
      <c r="M30" s="75" t="str">
        <f>IF(OR(TablaOrigen[[#This Row],[Asignatura Aprobada]]="SI",TablaOrigen[[#This Row],[Matriculado y Aprobado en 25/26]]="SI"),"SI","NO")</f>
        <v>NO</v>
      </c>
      <c r="O30" t="s">
        <v>19</v>
      </c>
      <c r="P30" s="76" t="s">
        <v>173</v>
      </c>
      <c r="Q30" s="30" t="s">
        <v>180</v>
      </c>
      <c r="R30" s="76" t="s">
        <v>181</v>
      </c>
      <c r="S30" s="76">
        <v>3</v>
      </c>
      <c r="T30" s="76">
        <v>1</v>
      </c>
      <c r="U30" s="76">
        <v>6</v>
      </c>
      <c r="V30" s="77" t="s">
        <v>24</v>
      </c>
      <c r="W30" t="str">
        <f>_xlfn.XLOOKUP(TablaDestino[[#This Row],[ID Asig]],TablaAdaptacionporasignatura[ID Asig],TablaAdaptacionporasignatura[Asignatura Adaptada?],"error")</f>
        <v>NO</v>
      </c>
      <c r="X30" t="str">
        <f>_xlfn.XLOOKUP(TablaDestino[[#This Row],[ID Modulo]],TablaModulosAdaptados[ID Modulo],TablaModulosAdaptados[Módulo Destino Adaptado?])</f>
        <v>NO</v>
      </c>
      <c r="Y30" t="str">
        <f>_xlfn.XLOOKUP(TablaDestino[[#This Row],[ID Asig]],TablaCondicionesParticulares[ID Asig],TablaCondicionesParticulares[Adaptada por condiciones particulares?])</f>
        <v>NO</v>
      </c>
      <c r="Z30" t="str">
        <f>IF(OR(TablaDestino[[#This Row],[Adaptada por Asignaturas?]]="SI",TablaDestino[[#This Row],[Adaptada por Módulo?]]="SI",TablaDestino[[#This Row],[Adaptada por Cond. Particulares?]]="SI"),"SI","NO")</f>
        <v>NO</v>
      </c>
    </row>
    <row r="31" spans="2:26" x14ac:dyDescent="0.2">
      <c r="B31" s="72" t="s">
        <v>19</v>
      </c>
      <c r="C31" s="50" t="s">
        <v>105</v>
      </c>
      <c r="D31" s="28">
        <v>27487</v>
      </c>
      <c r="E31" s="28" t="s">
        <v>133</v>
      </c>
      <c r="F31" s="51">
        <v>3</v>
      </c>
      <c r="G31" s="73">
        <v>1</v>
      </c>
      <c r="H31" s="74" t="s">
        <v>38</v>
      </c>
      <c r="I31" s="74" t="s">
        <v>24</v>
      </c>
      <c r="J31" s="51">
        <v>6</v>
      </c>
      <c r="K31" s="94" t="s">
        <v>39</v>
      </c>
      <c r="L31" s="94" t="s">
        <v>39</v>
      </c>
      <c r="M31" s="75" t="str">
        <f>IF(OR(TablaOrigen[[#This Row],[Asignatura Aprobada]]="SI",TablaOrigen[[#This Row],[Matriculado y Aprobado en 25/26]]="SI"),"SI","NO")</f>
        <v>NO</v>
      </c>
      <c r="O31" t="s">
        <v>19</v>
      </c>
      <c r="P31" s="76" t="s">
        <v>173</v>
      </c>
      <c r="Q31" s="30" t="s">
        <v>184</v>
      </c>
      <c r="R31" s="76" t="s">
        <v>185</v>
      </c>
      <c r="S31" s="76">
        <v>3</v>
      </c>
      <c r="T31" s="76">
        <v>1</v>
      </c>
      <c r="U31" s="76">
        <v>6</v>
      </c>
      <c r="V31" s="77" t="s">
        <v>24</v>
      </c>
      <c r="W31" t="str">
        <f>_xlfn.XLOOKUP(TablaDestino[[#This Row],[ID Asig]],TablaAdaptacionporasignatura[ID Asig],TablaAdaptacionporasignatura[Asignatura Adaptada?],"error")</f>
        <v>NO</v>
      </c>
      <c r="X31" t="str">
        <f>_xlfn.XLOOKUP(TablaDestino[[#This Row],[ID Modulo]],TablaModulosAdaptados[ID Modulo],TablaModulosAdaptados[Módulo Destino Adaptado?])</f>
        <v>NO</v>
      </c>
      <c r="Y31" t="str">
        <f>_xlfn.XLOOKUP(TablaDestino[[#This Row],[ID Asig]],TablaCondicionesParticulares[ID Asig],TablaCondicionesParticulares[Adaptada por condiciones particulares?])</f>
        <v>NO</v>
      </c>
      <c r="Z31" t="str">
        <f>IF(OR(TablaDestino[[#This Row],[Adaptada por Asignaturas?]]="SI",TablaDestino[[#This Row],[Adaptada por Módulo?]]="SI",TablaDestino[[#This Row],[Adaptada por Cond. Particulares?]]="SI"),"SI","NO")</f>
        <v>NO</v>
      </c>
    </row>
    <row r="32" spans="2:26" x14ac:dyDescent="0.2">
      <c r="B32" s="72" t="s">
        <v>19</v>
      </c>
      <c r="C32" s="50" t="s">
        <v>105</v>
      </c>
      <c r="D32" s="28">
        <v>27486</v>
      </c>
      <c r="E32" s="28" t="s">
        <v>137</v>
      </c>
      <c r="F32" s="51">
        <v>3</v>
      </c>
      <c r="G32" s="73">
        <v>1</v>
      </c>
      <c r="H32" s="74" t="s">
        <v>38</v>
      </c>
      <c r="I32" s="74" t="s">
        <v>24</v>
      </c>
      <c r="J32" s="51">
        <v>6</v>
      </c>
      <c r="K32" s="94" t="s">
        <v>39</v>
      </c>
      <c r="L32" s="94" t="s">
        <v>39</v>
      </c>
      <c r="M32" s="75" t="str">
        <f>IF(OR(TablaOrigen[[#This Row],[Asignatura Aprobada]]="SI",TablaOrigen[[#This Row],[Matriculado y Aprobado en 25/26]]="SI"),"SI","NO")</f>
        <v>NO</v>
      </c>
      <c r="O32" t="s">
        <v>19</v>
      </c>
      <c r="P32" s="76" t="s">
        <v>173</v>
      </c>
      <c r="Q32" s="30" t="s">
        <v>199</v>
      </c>
      <c r="R32" s="76" t="s">
        <v>200</v>
      </c>
      <c r="S32" s="76">
        <v>3</v>
      </c>
      <c r="T32" s="76">
        <v>1</v>
      </c>
      <c r="U32" s="76">
        <v>6</v>
      </c>
      <c r="V32" s="77" t="s">
        <v>24</v>
      </c>
      <c r="W32" t="str">
        <f>_xlfn.XLOOKUP(TablaDestino[[#This Row],[ID Asig]],TablaAdaptacionporasignatura[ID Asig],TablaAdaptacionporasignatura[Asignatura Adaptada?],"error")</f>
        <v>NO</v>
      </c>
      <c r="X32" t="str">
        <f>_xlfn.XLOOKUP(TablaDestino[[#This Row],[ID Modulo]],TablaModulosAdaptados[ID Modulo],TablaModulosAdaptados[Módulo Destino Adaptado?])</f>
        <v>NO</v>
      </c>
      <c r="Y32" t="str">
        <f>_xlfn.XLOOKUP(TablaDestino[[#This Row],[ID Asig]],TablaCondicionesParticulares[ID Asig],TablaCondicionesParticulares[Adaptada por condiciones particulares?])</f>
        <v>NO</v>
      </c>
      <c r="Z32" t="str">
        <f>IF(OR(TablaDestino[[#This Row],[Adaptada por Asignaturas?]]="SI",TablaDestino[[#This Row],[Adaptada por Módulo?]]="SI",TablaDestino[[#This Row],[Adaptada por Cond. Particulares?]]="SI"),"SI","NO")</f>
        <v>NO</v>
      </c>
    </row>
    <row r="33" spans="2:26" x14ac:dyDescent="0.2">
      <c r="B33" s="72" t="s">
        <v>20</v>
      </c>
      <c r="C33" s="50" t="s">
        <v>104</v>
      </c>
      <c r="D33" s="28">
        <v>27496</v>
      </c>
      <c r="E33" s="28" t="s">
        <v>131</v>
      </c>
      <c r="F33" s="51">
        <v>3</v>
      </c>
      <c r="G33" s="73">
        <v>2</v>
      </c>
      <c r="H33" s="74" t="s">
        <v>39</v>
      </c>
      <c r="I33" s="74" t="s">
        <v>26</v>
      </c>
      <c r="J33" s="51">
        <v>6</v>
      </c>
      <c r="K33" s="94" t="s">
        <v>39</v>
      </c>
      <c r="L33" s="94" t="s">
        <v>39</v>
      </c>
      <c r="M33" s="75" t="str">
        <f>IF(OR(TablaOrigen[[#This Row],[Asignatura Aprobada]]="SI",TablaOrigen[[#This Row],[Matriculado y Aprobado en 25/26]]="SI"),"SI","NO")</f>
        <v>NO</v>
      </c>
      <c r="O33" t="s">
        <v>19</v>
      </c>
      <c r="P33" s="76" t="s">
        <v>173</v>
      </c>
      <c r="Q33" s="30" t="s">
        <v>174</v>
      </c>
      <c r="R33" s="76" t="s">
        <v>175</v>
      </c>
      <c r="S33" s="76">
        <v>3</v>
      </c>
      <c r="T33" s="76">
        <v>2</v>
      </c>
      <c r="U33" s="76">
        <v>6</v>
      </c>
      <c r="V33" s="77" t="s">
        <v>24</v>
      </c>
      <c r="W33" t="str">
        <f>_xlfn.XLOOKUP(TablaDestino[[#This Row],[ID Asig]],TablaAdaptacionporasignatura[ID Asig],TablaAdaptacionporasignatura[Asignatura Adaptada?],"error")</f>
        <v>NO</v>
      </c>
      <c r="X33" t="str">
        <f>_xlfn.XLOOKUP(TablaDestino[[#This Row],[ID Modulo]],TablaModulosAdaptados[ID Modulo],TablaModulosAdaptados[Módulo Destino Adaptado?])</f>
        <v>NO</v>
      </c>
      <c r="Y33" t="str">
        <f>_xlfn.XLOOKUP(TablaDestino[[#This Row],[ID Asig]],TablaCondicionesParticulares[ID Asig],TablaCondicionesParticulares[Adaptada por condiciones particulares?])</f>
        <v>NO</v>
      </c>
      <c r="Z33" t="str">
        <f>IF(OR(TablaDestino[[#This Row],[Adaptada por Asignaturas?]]="SI",TablaDestino[[#This Row],[Adaptada por Módulo?]]="SI",TablaDestino[[#This Row],[Adaptada por Cond. Particulares?]]="SI"),"SI","NO")</f>
        <v>NO</v>
      </c>
    </row>
    <row r="34" spans="2:26" x14ac:dyDescent="0.2">
      <c r="B34" s="72" t="s">
        <v>20</v>
      </c>
      <c r="C34" s="50" t="s">
        <v>104</v>
      </c>
      <c r="D34" s="28">
        <v>27495</v>
      </c>
      <c r="E34" s="28" t="s">
        <v>144</v>
      </c>
      <c r="F34" s="51">
        <v>3</v>
      </c>
      <c r="G34" s="73">
        <v>2</v>
      </c>
      <c r="H34" s="74" t="s">
        <v>39</v>
      </c>
      <c r="I34" s="74" t="s">
        <v>26</v>
      </c>
      <c r="J34" s="51">
        <v>6</v>
      </c>
      <c r="K34" s="94" t="s">
        <v>39</v>
      </c>
      <c r="L34" s="94" t="s">
        <v>39</v>
      </c>
      <c r="M34" s="75" t="str">
        <f>IF(OR(TablaOrigen[[#This Row],[Asignatura Aprobada]]="SI",TablaOrigen[[#This Row],[Matriculado y Aprobado en 25/26]]="SI"),"SI","NO")</f>
        <v>NO</v>
      </c>
      <c r="O34" t="s">
        <v>19</v>
      </c>
      <c r="P34" s="76" t="s">
        <v>173</v>
      </c>
      <c r="Q34" s="30" t="s">
        <v>178</v>
      </c>
      <c r="R34" s="76" t="s">
        <v>179</v>
      </c>
      <c r="S34" s="76">
        <v>3</v>
      </c>
      <c r="T34" s="76">
        <v>2</v>
      </c>
      <c r="U34" s="76">
        <v>6</v>
      </c>
      <c r="V34" s="77" t="s">
        <v>24</v>
      </c>
      <c r="W34" t="str">
        <f>_xlfn.XLOOKUP(TablaDestino[[#This Row],[ID Asig]],TablaAdaptacionporasignatura[ID Asig],TablaAdaptacionporasignatura[Asignatura Adaptada?],"error")</f>
        <v>NO</v>
      </c>
      <c r="X34" t="str">
        <f>_xlfn.XLOOKUP(TablaDestino[[#This Row],[ID Modulo]],TablaModulosAdaptados[ID Modulo],TablaModulosAdaptados[Módulo Destino Adaptado?])</f>
        <v>NO</v>
      </c>
      <c r="Y34" t="str">
        <f>_xlfn.XLOOKUP(TablaDestino[[#This Row],[ID Asig]],TablaCondicionesParticulares[ID Asig],TablaCondicionesParticulares[Adaptada por condiciones particulares?])</f>
        <v>NO</v>
      </c>
      <c r="Z34" t="str">
        <f>IF(OR(TablaDestino[[#This Row],[Adaptada por Asignaturas?]]="SI",TablaDestino[[#This Row],[Adaptada por Módulo?]]="SI",TablaDestino[[#This Row],[Adaptada por Cond. Particulares?]]="SI"),"SI","NO")</f>
        <v>NO</v>
      </c>
    </row>
    <row r="35" spans="2:26" x14ac:dyDescent="0.2">
      <c r="B35" s="72" t="s">
        <v>19</v>
      </c>
      <c r="C35" s="50" t="s">
        <v>105</v>
      </c>
      <c r="D35" s="28">
        <v>27489</v>
      </c>
      <c r="E35" s="28" t="s">
        <v>129</v>
      </c>
      <c r="F35" s="51">
        <v>3</v>
      </c>
      <c r="G35" s="73">
        <v>2</v>
      </c>
      <c r="H35" s="74" t="s">
        <v>38</v>
      </c>
      <c r="I35" s="74" t="s">
        <v>24</v>
      </c>
      <c r="J35" s="51">
        <v>6</v>
      </c>
      <c r="K35" s="94" t="s">
        <v>39</v>
      </c>
      <c r="L35" s="94" t="s">
        <v>39</v>
      </c>
      <c r="M35" s="75" t="str">
        <f>IF(OR(TablaOrigen[[#This Row],[Asignatura Aprobada]]="SI",TablaOrigen[[#This Row],[Matriculado y Aprobado en 25/26]]="SI"),"SI","NO")</f>
        <v>NO</v>
      </c>
      <c r="O35" t="s">
        <v>19</v>
      </c>
      <c r="P35" s="76" t="s">
        <v>173</v>
      </c>
      <c r="Q35" s="30" t="s">
        <v>182</v>
      </c>
      <c r="R35" s="76" t="s">
        <v>183</v>
      </c>
      <c r="S35" s="76">
        <v>3</v>
      </c>
      <c r="T35" s="76">
        <v>2</v>
      </c>
      <c r="U35" s="76">
        <v>6</v>
      </c>
      <c r="V35" s="77" t="s">
        <v>24</v>
      </c>
      <c r="W35" t="str">
        <f>_xlfn.XLOOKUP(TablaDestino[[#This Row],[ID Asig]],TablaAdaptacionporasignatura[ID Asig],TablaAdaptacionporasignatura[Asignatura Adaptada?],"error")</f>
        <v>NO</v>
      </c>
      <c r="X35" t="str">
        <f>_xlfn.XLOOKUP(TablaDestino[[#This Row],[ID Modulo]],TablaModulosAdaptados[ID Modulo],TablaModulosAdaptados[Módulo Destino Adaptado?])</f>
        <v>NO</v>
      </c>
      <c r="Y35" t="str">
        <f>_xlfn.XLOOKUP(TablaDestino[[#This Row],[ID Asig]],TablaCondicionesParticulares[ID Asig],TablaCondicionesParticulares[Adaptada por condiciones particulares?])</f>
        <v>NO</v>
      </c>
      <c r="Z35" t="str">
        <f>IF(OR(TablaDestino[[#This Row],[Adaptada por Asignaturas?]]="SI",TablaDestino[[#This Row],[Adaptada por Módulo?]]="SI",TablaDestino[[#This Row],[Adaptada por Cond. Particulares?]]="SI"),"SI","NO")</f>
        <v>NO</v>
      </c>
    </row>
    <row r="36" spans="2:26" x14ac:dyDescent="0.2">
      <c r="B36" s="72" t="s">
        <v>19</v>
      </c>
      <c r="C36" s="50" t="s">
        <v>105</v>
      </c>
      <c r="D36" s="28">
        <v>27490</v>
      </c>
      <c r="E36" s="28" t="s">
        <v>132</v>
      </c>
      <c r="F36" s="51">
        <v>3</v>
      </c>
      <c r="G36" s="73">
        <v>2</v>
      </c>
      <c r="H36" s="74" t="s">
        <v>38</v>
      </c>
      <c r="I36" s="74" t="s">
        <v>24</v>
      </c>
      <c r="J36" s="51">
        <v>6</v>
      </c>
      <c r="K36" s="94" t="s">
        <v>39</v>
      </c>
      <c r="L36" s="94" t="s">
        <v>39</v>
      </c>
      <c r="M36" s="75" t="str">
        <f>IF(OR(TablaOrigen[[#This Row],[Asignatura Aprobada]]="SI",TablaOrigen[[#This Row],[Matriculado y Aprobado en 25/26]]="SI"),"SI","NO")</f>
        <v>NO</v>
      </c>
      <c r="O36" t="s">
        <v>19</v>
      </c>
      <c r="P36" s="76" t="s">
        <v>173</v>
      </c>
      <c r="Q36" s="30" t="s">
        <v>186</v>
      </c>
      <c r="R36" s="76" t="s">
        <v>187</v>
      </c>
      <c r="S36" s="76">
        <v>3</v>
      </c>
      <c r="T36" s="76">
        <v>2</v>
      </c>
      <c r="U36" s="76">
        <v>6</v>
      </c>
      <c r="V36" s="77" t="s">
        <v>24</v>
      </c>
      <c r="W36" t="str">
        <f>_xlfn.XLOOKUP(TablaDestino[[#This Row],[ID Asig]],TablaAdaptacionporasignatura[ID Asig],TablaAdaptacionporasignatura[Asignatura Adaptada?],"error")</f>
        <v>NO</v>
      </c>
      <c r="X36" t="str">
        <f>_xlfn.XLOOKUP(TablaDestino[[#This Row],[ID Modulo]],TablaModulosAdaptados[ID Modulo],TablaModulosAdaptados[Módulo Destino Adaptado?])</f>
        <v>NO</v>
      </c>
      <c r="Y36" t="str">
        <f>_xlfn.XLOOKUP(TablaDestino[[#This Row],[ID Asig]],TablaCondicionesParticulares[ID Asig],TablaCondicionesParticulares[Adaptada por condiciones particulares?])</f>
        <v>NO</v>
      </c>
      <c r="Z36" t="str">
        <f>IF(OR(TablaDestino[[#This Row],[Adaptada por Asignaturas?]]="SI",TablaDestino[[#This Row],[Adaptada por Módulo?]]="SI",TablaDestino[[#This Row],[Adaptada por Cond. Particulares?]]="SI"),"SI","NO")</f>
        <v>NO</v>
      </c>
    </row>
    <row r="37" spans="2:26" x14ac:dyDescent="0.2">
      <c r="B37" s="72" t="s">
        <v>19</v>
      </c>
      <c r="C37" s="50" t="s">
        <v>105</v>
      </c>
      <c r="D37" s="28">
        <v>26047</v>
      </c>
      <c r="E37" s="28" t="s">
        <v>134</v>
      </c>
      <c r="F37" s="51">
        <v>3</v>
      </c>
      <c r="G37" s="73">
        <v>2</v>
      </c>
      <c r="H37" s="74" t="s">
        <v>38</v>
      </c>
      <c r="I37" s="74" t="s">
        <v>24</v>
      </c>
      <c r="J37" s="51">
        <v>6</v>
      </c>
      <c r="K37" s="94" t="s">
        <v>39</v>
      </c>
      <c r="L37" s="94" t="s">
        <v>39</v>
      </c>
      <c r="M37" s="75" t="str">
        <f>IF(OR(TablaOrigen[[#This Row],[Asignatura Aprobada]]="SI",TablaOrigen[[#This Row],[Matriculado y Aprobado en 25/26]]="SI"),"SI","NO")</f>
        <v>NO</v>
      </c>
      <c r="O37" t="s">
        <v>19</v>
      </c>
      <c r="P37" s="76" t="s">
        <v>173</v>
      </c>
      <c r="Q37" s="30" t="s">
        <v>188</v>
      </c>
      <c r="R37" s="76" t="s">
        <v>189</v>
      </c>
      <c r="S37" s="76">
        <v>4</v>
      </c>
      <c r="T37" s="76">
        <v>1</v>
      </c>
      <c r="U37" s="76">
        <v>6</v>
      </c>
      <c r="V37" s="77" t="s">
        <v>24</v>
      </c>
      <c r="W37" t="str">
        <f>_xlfn.XLOOKUP(TablaDestino[[#This Row],[ID Asig]],TablaAdaptacionporasignatura[ID Asig],TablaAdaptacionporasignatura[Asignatura Adaptada?],"error")</f>
        <v>NO</v>
      </c>
      <c r="X37" t="str">
        <f>_xlfn.XLOOKUP(TablaDestino[[#This Row],[ID Modulo]],TablaModulosAdaptados[ID Modulo],TablaModulosAdaptados[Módulo Destino Adaptado?])</f>
        <v>NO</v>
      </c>
      <c r="Y37" t="str">
        <f>_xlfn.XLOOKUP(TablaDestino[[#This Row],[ID Asig]],TablaCondicionesParticulares[ID Asig],TablaCondicionesParticulares[Adaptada por condiciones particulares?])</f>
        <v>NO</v>
      </c>
      <c r="Z37" t="str">
        <f>IF(OR(TablaDestino[[#This Row],[Adaptada por Asignaturas?]]="SI",TablaDestino[[#This Row],[Adaptada por Módulo?]]="SI",TablaDestino[[#This Row],[Adaptada por Cond. Particulares?]]="SI"),"SI","NO")</f>
        <v>NO</v>
      </c>
    </row>
    <row r="38" spans="2:26" x14ac:dyDescent="0.2">
      <c r="B38" s="72" t="s">
        <v>20</v>
      </c>
      <c r="C38" s="50" t="s">
        <v>104</v>
      </c>
      <c r="D38" s="28">
        <v>27493</v>
      </c>
      <c r="E38" s="28" t="s">
        <v>124</v>
      </c>
      <c r="F38" s="51">
        <v>3</v>
      </c>
      <c r="G38" s="73">
        <v>2</v>
      </c>
      <c r="H38" s="74" t="s">
        <v>38</v>
      </c>
      <c r="I38" s="74" t="s">
        <v>26</v>
      </c>
      <c r="J38" s="51">
        <v>6</v>
      </c>
      <c r="K38" s="94" t="s">
        <v>39</v>
      </c>
      <c r="L38" s="94" t="s">
        <v>39</v>
      </c>
      <c r="M38" s="75" t="str">
        <f>IF(OR(TablaOrigen[[#This Row],[Asignatura Aprobada]]="SI",TablaOrigen[[#This Row],[Matriculado y Aprobado en 25/26]]="SI"),"SI","NO")</f>
        <v>NO</v>
      </c>
      <c r="O38" t="s">
        <v>19</v>
      </c>
      <c r="P38" s="76" t="s">
        <v>173</v>
      </c>
      <c r="Q38" s="30" t="s">
        <v>190</v>
      </c>
      <c r="R38" s="76" t="s">
        <v>191</v>
      </c>
      <c r="S38" s="76">
        <v>4</v>
      </c>
      <c r="T38" s="76">
        <v>1</v>
      </c>
      <c r="U38" s="76">
        <v>6</v>
      </c>
      <c r="V38" s="77" t="s">
        <v>24</v>
      </c>
      <c r="W38" t="str">
        <f>_xlfn.XLOOKUP(TablaDestino[[#This Row],[ID Asig]],TablaAdaptacionporasignatura[ID Asig],TablaAdaptacionporasignatura[Asignatura Adaptada?],"error")</f>
        <v>NO</v>
      </c>
      <c r="X38" t="str">
        <f>_xlfn.XLOOKUP(TablaDestino[[#This Row],[ID Modulo]],TablaModulosAdaptados[ID Modulo],TablaModulosAdaptados[Módulo Destino Adaptado?])</f>
        <v>NO</v>
      </c>
      <c r="Y38" t="str">
        <f>_xlfn.XLOOKUP(TablaDestino[[#This Row],[ID Asig]],TablaCondicionesParticulares[ID Asig],TablaCondicionesParticulares[Adaptada por condiciones particulares?])</f>
        <v>NO</v>
      </c>
      <c r="Z38" t="str">
        <f>IF(OR(TablaDestino[[#This Row],[Adaptada por Asignaturas?]]="SI",TablaDestino[[#This Row],[Adaptada por Módulo?]]="SI",TablaDestino[[#This Row],[Adaptada por Cond. Particulares?]]="SI"),"SI","NO")</f>
        <v>NO</v>
      </c>
    </row>
    <row r="39" spans="2:26" x14ac:dyDescent="0.2">
      <c r="B39" s="72" t="s">
        <v>20</v>
      </c>
      <c r="C39" s="50" t="s">
        <v>104</v>
      </c>
      <c r="D39" s="28">
        <v>27494</v>
      </c>
      <c r="E39" s="28" t="s">
        <v>130</v>
      </c>
      <c r="F39" s="51">
        <v>3</v>
      </c>
      <c r="G39" s="73">
        <v>2</v>
      </c>
      <c r="H39" s="74" t="s">
        <v>38</v>
      </c>
      <c r="I39" s="74" t="s">
        <v>26</v>
      </c>
      <c r="J39" s="51">
        <v>6</v>
      </c>
      <c r="K39" s="94" t="s">
        <v>39</v>
      </c>
      <c r="L39" s="94" t="s">
        <v>39</v>
      </c>
      <c r="M39" s="75" t="str">
        <f>IF(OR(TablaOrigen[[#This Row],[Asignatura Aprobada]]="SI",TablaOrigen[[#This Row],[Matriculado y Aprobado en 25/26]]="SI"),"SI","NO")</f>
        <v>NO</v>
      </c>
      <c r="O39" t="s">
        <v>19</v>
      </c>
      <c r="P39" s="76" t="s">
        <v>173</v>
      </c>
      <c r="Q39" s="30" t="s">
        <v>192</v>
      </c>
      <c r="R39" s="76" t="s">
        <v>193</v>
      </c>
      <c r="S39" s="76">
        <v>4</v>
      </c>
      <c r="T39" s="76">
        <v>1</v>
      </c>
      <c r="U39" s="76">
        <v>6</v>
      </c>
      <c r="V39" s="77" t="s">
        <v>24</v>
      </c>
      <c r="W39" t="str">
        <f>_xlfn.XLOOKUP(TablaDestino[[#This Row],[ID Asig]],TablaAdaptacionporasignatura[ID Asig],TablaAdaptacionporasignatura[Asignatura Adaptada?],"error")</f>
        <v>NO</v>
      </c>
      <c r="X39" t="str">
        <f>_xlfn.XLOOKUP(TablaDestino[[#This Row],[ID Modulo]],TablaModulosAdaptados[ID Modulo],TablaModulosAdaptados[Módulo Destino Adaptado?])</f>
        <v>NO</v>
      </c>
      <c r="Y39" t="str">
        <f>_xlfn.XLOOKUP(TablaDestino[[#This Row],[ID Asig]],TablaCondicionesParticulares[ID Asig],TablaCondicionesParticulares[Adaptada por condiciones particulares?])</f>
        <v>NO</v>
      </c>
      <c r="Z39" t="str">
        <f>IF(OR(TablaDestino[[#This Row],[Adaptada por Asignaturas?]]="SI",TablaDestino[[#This Row],[Adaptada por Módulo?]]="SI",TablaDestino[[#This Row],[Adaptada por Cond. Particulares?]]="SI"),"SI","NO")</f>
        <v>NO</v>
      </c>
    </row>
    <row r="40" spans="2:26" x14ac:dyDescent="0.2">
      <c r="B40" s="72" t="s">
        <v>20</v>
      </c>
      <c r="C40" s="50" t="s">
        <v>140</v>
      </c>
      <c r="D40" s="28">
        <v>28278</v>
      </c>
      <c r="E40" s="28" t="s">
        <v>141</v>
      </c>
      <c r="F40" s="51">
        <v>3</v>
      </c>
      <c r="G40" s="73">
        <v>2</v>
      </c>
      <c r="H40" s="74" t="s">
        <v>38</v>
      </c>
      <c r="I40" s="74" t="s">
        <v>26</v>
      </c>
      <c r="J40" s="51">
        <v>6</v>
      </c>
      <c r="K40" s="94" t="s">
        <v>39</v>
      </c>
      <c r="L40" s="94" t="s">
        <v>39</v>
      </c>
      <c r="M40" s="75" t="str">
        <f>IF(OR(TablaOrigen[[#This Row],[Asignatura Aprobada]]="SI",TablaOrigen[[#This Row],[Matriculado y Aprobado en 25/26]]="SI"),"SI","NO")</f>
        <v>NO</v>
      </c>
      <c r="O40" t="s">
        <v>19</v>
      </c>
      <c r="P40" s="76" t="s">
        <v>173</v>
      </c>
      <c r="Q40" s="30" t="s">
        <v>194</v>
      </c>
      <c r="R40" s="76" t="s">
        <v>195</v>
      </c>
      <c r="S40" s="76">
        <v>4</v>
      </c>
      <c r="T40" s="76">
        <v>1</v>
      </c>
      <c r="U40" s="76">
        <v>6</v>
      </c>
      <c r="V40" s="77" t="s">
        <v>24</v>
      </c>
      <c r="W40" t="str">
        <f>_xlfn.XLOOKUP(TablaDestino[[#This Row],[ID Asig]],TablaAdaptacionporasignatura[ID Asig],TablaAdaptacionporasignatura[Asignatura Adaptada?],"error")</f>
        <v>NO</v>
      </c>
      <c r="X40" t="str">
        <f>_xlfn.XLOOKUP(TablaDestino[[#This Row],[ID Modulo]],TablaModulosAdaptados[ID Modulo],TablaModulosAdaptados[Módulo Destino Adaptado?])</f>
        <v>NO</v>
      </c>
      <c r="Y40" t="str">
        <f>_xlfn.XLOOKUP(TablaDestino[[#This Row],[ID Asig]],TablaCondicionesParticulares[ID Asig],TablaCondicionesParticulares[Adaptada por condiciones particulares?])</f>
        <v>NO</v>
      </c>
      <c r="Z40" t="str">
        <f>IF(OR(TablaDestino[[#This Row],[Adaptada por Asignaturas?]]="SI",TablaDestino[[#This Row],[Adaptada por Módulo?]]="SI",TablaDestino[[#This Row],[Adaptada por Cond. Particulares?]]="SI"),"SI","NO")</f>
        <v>NO</v>
      </c>
    </row>
    <row r="41" spans="2:26" x14ac:dyDescent="0.2">
      <c r="B41" s="72" t="s">
        <v>20</v>
      </c>
      <c r="C41" s="50" t="s">
        <v>104</v>
      </c>
      <c r="D41" s="28">
        <v>27504</v>
      </c>
      <c r="E41" s="28" t="s">
        <v>146</v>
      </c>
      <c r="F41" s="51">
        <v>4</v>
      </c>
      <c r="G41" s="73">
        <v>1</v>
      </c>
      <c r="H41" s="74" t="s">
        <v>39</v>
      </c>
      <c r="I41" s="74" t="s">
        <v>26</v>
      </c>
      <c r="J41" s="51">
        <v>4.5</v>
      </c>
      <c r="K41" s="94" t="s">
        <v>39</v>
      </c>
      <c r="L41" s="94" t="s">
        <v>39</v>
      </c>
      <c r="M41" s="75" t="str">
        <f>IF(OR(TablaOrigen[[#This Row],[Asignatura Aprobada]]="SI",TablaOrigen[[#This Row],[Matriculado y Aprobado en 25/26]]="SI"),"SI","NO")</f>
        <v>NO</v>
      </c>
      <c r="O41" t="s">
        <v>20</v>
      </c>
      <c r="P41" s="76" t="s">
        <v>203</v>
      </c>
      <c r="Q41" s="30" t="s">
        <v>208</v>
      </c>
      <c r="R41" s="76" t="s">
        <v>209</v>
      </c>
      <c r="S41" s="76">
        <v>4</v>
      </c>
      <c r="T41" s="76">
        <v>1</v>
      </c>
      <c r="U41" s="76">
        <v>6</v>
      </c>
      <c r="V41" s="77" t="s">
        <v>26</v>
      </c>
      <c r="W41" t="str">
        <f>_xlfn.XLOOKUP(TablaDestino[[#This Row],[ID Asig]],TablaAdaptacionporasignatura[ID Asig],TablaAdaptacionporasignatura[Asignatura Adaptada?],"error")</f>
        <v>NO</v>
      </c>
      <c r="X41" t="str">
        <f>_xlfn.XLOOKUP(TablaDestino[[#This Row],[ID Modulo]],TablaModulosAdaptados[ID Modulo],TablaModulosAdaptados[Módulo Destino Adaptado?])</f>
        <v>NO</v>
      </c>
      <c r="Y41" t="str">
        <f>_xlfn.XLOOKUP(TablaDestino[[#This Row],[ID Asig]],TablaCondicionesParticulares[ID Asig],TablaCondicionesParticulares[Adaptada por condiciones particulares?],"NO")</f>
        <v>NO</v>
      </c>
      <c r="Z41" t="str">
        <f>IF(OR(TablaDestino[[#This Row],[Adaptada por Asignaturas?]]="SI",TablaDestino[[#This Row],[Adaptada por Módulo?]]="SI",TablaDestino[[#This Row],[Adaptada por Cond. Particulares?]]="SI"),"SI","NO")</f>
        <v>NO</v>
      </c>
    </row>
    <row r="42" spans="2:26" x14ac:dyDescent="0.2">
      <c r="B42" s="72" t="s">
        <v>20</v>
      </c>
      <c r="C42" s="50" t="s">
        <v>104</v>
      </c>
      <c r="D42" s="28">
        <v>27500</v>
      </c>
      <c r="E42" s="28" t="s">
        <v>147</v>
      </c>
      <c r="F42" s="51">
        <v>4</v>
      </c>
      <c r="G42" s="73">
        <v>1</v>
      </c>
      <c r="H42" s="74" t="s">
        <v>39</v>
      </c>
      <c r="I42" s="74" t="s">
        <v>26</v>
      </c>
      <c r="J42" s="51">
        <v>4.5</v>
      </c>
      <c r="K42" s="94" t="s">
        <v>39</v>
      </c>
      <c r="L42" s="94" t="s">
        <v>39</v>
      </c>
      <c r="M42" s="75" t="str">
        <f>IF(OR(TablaOrigen[[#This Row],[Asignatura Aprobada]]="SI",TablaOrigen[[#This Row],[Matriculado y Aprobado en 25/26]]="SI"),"SI","NO")</f>
        <v>NO</v>
      </c>
      <c r="O42" t="s">
        <v>20</v>
      </c>
      <c r="P42" s="76" t="s">
        <v>203</v>
      </c>
      <c r="Q42" s="30" t="s">
        <v>212</v>
      </c>
      <c r="R42" s="76" t="s">
        <v>213</v>
      </c>
      <c r="S42" s="76">
        <v>4</v>
      </c>
      <c r="T42" s="76">
        <v>1</v>
      </c>
      <c r="U42" s="76">
        <v>6</v>
      </c>
      <c r="V42" s="77" t="s">
        <v>26</v>
      </c>
      <c r="W42" t="str">
        <f>_xlfn.XLOOKUP(TablaDestino[[#This Row],[ID Asig]],TablaAdaptacionporasignatura[ID Asig],TablaAdaptacionporasignatura[Asignatura Adaptada?],"error")</f>
        <v>NO</v>
      </c>
      <c r="X42" t="str">
        <f>_xlfn.XLOOKUP(TablaDestino[[#This Row],[ID Modulo]],TablaModulosAdaptados[ID Modulo],TablaModulosAdaptados[Módulo Destino Adaptado?])</f>
        <v>NO</v>
      </c>
      <c r="Y42" t="str">
        <f>_xlfn.XLOOKUP(TablaDestino[[#This Row],[ID Asig]],TablaCondicionesParticulares[ID Asig],TablaCondicionesParticulares[Adaptada por condiciones particulares?],"NO")</f>
        <v>NO</v>
      </c>
      <c r="Z42" t="str">
        <f>IF(OR(TablaDestino[[#This Row],[Adaptada por Asignaturas?]]="SI",TablaDestino[[#This Row],[Adaptada por Módulo?]]="SI",TablaDestino[[#This Row],[Adaptada por Cond. Particulares?]]="SI"),"SI","NO")</f>
        <v>NO</v>
      </c>
    </row>
    <row r="43" spans="2:26" x14ac:dyDescent="0.2">
      <c r="B43" s="72" t="s">
        <v>20</v>
      </c>
      <c r="C43" s="50" t="s">
        <v>104</v>
      </c>
      <c r="D43" s="28">
        <v>27497</v>
      </c>
      <c r="E43" s="28" t="s">
        <v>149</v>
      </c>
      <c r="F43" s="51">
        <v>4</v>
      </c>
      <c r="G43" s="73">
        <v>1</v>
      </c>
      <c r="H43" s="74" t="s">
        <v>39</v>
      </c>
      <c r="I43" s="74" t="s">
        <v>26</v>
      </c>
      <c r="J43" s="51">
        <v>4.5</v>
      </c>
      <c r="K43" s="94" t="s">
        <v>39</v>
      </c>
      <c r="L43" s="94" t="s">
        <v>39</v>
      </c>
      <c r="M43" s="75" t="str">
        <f>IF(OR(TablaOrigen[[#This Row],[Asignatura Aprobada]]="SI",TablaOrigen[[#This Row],[Matriculado y Aprobado en 25/26]]="SI"),"SI","NO")</f>
        <v>NO</v>
      </c>
      <c r="O43" t="s">
        <v>20</v>
      </c>
      <c r="P43" s="76" t="s">
        <v>203</v>
      </c>
      <c r="Q43" s="30" t="s">
        <v>216</v>
      </c>
      <c r="R43" s="76" t="s">
        <v>217</v>
      </c>
      <c r="S43" s="76">
        <v>4</v>
      </c>
      <c r="T43" s="76">
        <v>1</v>
      </c>
      <c r="U43" s="76">
        <v>6</v>
      </c>
      <c r="V43" s="77" t="s">
        <v>26</v>
      </c>
      <c r="W43" t="str">
        <f>_xlfn.XLOOKUP(TablaDestino[[#This Row],[ID Asig]],TablaAdaptacionporasignatura[ID Asig],TablaAdaptacionporasignatura[Asignatura Adaptada?],"error")</f>
        <v>NO</v>
      </c>
      <c r="X43" t="str">
        <f>_xlfn.XLOOKUP(TablaDestino[[#This Row],[ID Modulo]],TablaModulosAdaptados[ID Modulo],TablaModulosAdaptados[Módulo Destino Adaptado?])</f>
        <v>NO</v>
      </c>
      <c r="Y43" t="str">
        <f>_xlfn.XLOOKUP(TablaDestino[[#This Row],[ID Asig]],TablaCondicionesParticulares[ID Asig],TablaCondicionesParticulares[Adaptada por condiciones particulares?],"NO")</f>
        <v>NO</v>
      </c>
      <c r="Z43" t="str">
        <f>IF(OR(TablaDestino[[#This Row],[Adaptada por Asignaturas?]]="SI",TablaDestino[[#This Row],[Adaptada por Módulo?]]="SI",TablaDestino[[#This Row],[Adaptada por Cond. Particulares?]]="SI"),"SI","NO")</f>
        <v>NO</v>
      </c>
    </row>
    <row r="44" spans="2:26" x14ac:dyDescent="0.2">
      <c r="B44" s="72" t="s">
        <v>20</v>
      </c>
      <c r="C44" s="50" t="s">
        <v>104</v>
      </c>
      <c r="D44" s="28">
        <v>27501</v>
      </c>
      <c r="E44" s="28" t="s">
        <v>150</v>
      </c>
      <c r="F44" s="51">
        <v>4</v>
      </c>
      <c r="G44" s="73">
        <v>1</v>
      </c>
      <c r="H44" s="74" t="s">
        <v>39</v>
      </c>
      <c r="I44" s="74" t="s">
        <v>26</v>
      </c>
      <c r="J44" s="51">
        <v>4.5</v>
      </c>
      <c r="K44" s="94" t="s">
        <v>39</v>
      </c>
      <c r="L44" s="94" t="s">
        <v>39</v>
      </c>
      <c r="M44" s="75" t="str">
        <f>IF(OR(TablaOrigen[[#This Row],[Asignatura Aprobada]]="SI",TablaOrigen[[#This Row],[Matriculado y Aprobado en 25/26]]="SI"),"SI","NO")</f>
        <v>NO</v>
      </c>
      <c r="O44" t="s">
        <v>20</v>
      </c>
      <c r="P44" s="76" t="s">
        <v>203</v>
      </c>
      <c r="Q44" s="30" t="s">
        <v>204</v>
      </c>
      <c r="R44" s="76" t="s">
        <v>205</v>
      </c>
      <c r="S44" s="76">
        <v>4</v>
      </c>
      <c r="T44" s="76">
        <v>2</v>
      </c>
      <c r="U44" s="76">
        <v>6</v>
      </c>
      <c r="V44" s="77" t="s">
        <v>26</v>
      </c>
      <c r="W44" t="str">
        <f>_xlfn.XLOOKUP(TablaDestino[[#This Row],[ID Asig]],TablaAdaptacionporasignatura[ID Asig],TablaAdaptacionporasignatura[Asignatura Adaptada?],"error")</f>
        <v>NO</v>
      </c>
      <c r="X44" t="str">
        <f>_xlfn.XLOOKUP(TablaDestino[[#This Row],[ID Modulo]],TablaModulosAdaptados[ID Modulo],TablaModulosAdaptados[Módulo Destino Adaptado?])</f>
        <v>NO</v>
      </c>
      <c r="Y44" t="str">
        <f>_xlfn.XLOOKUP(TablaDestino[[#This Row],[ID Asig]],TablaCondicionesParticulares[ID Asig],TablaCondicionesParticulares[Adaptada por condiciones particulares?],"NO")</f>
        <v>NO</v>
      </c>
      <c r="Z44" t="str">
        <f>IF(OR(TablaDestino[[#This Row],[Adaptada por Asignaturas?]]="SI",TablaDestino[[#This Row],[Adaptada por Módulo?]]="SI",TablaDestino[[#This Row],[Adaptada por Cond. Particulares?]]="SI"),"SI","NO")</f>
        <v>NO</v>
      </c>
    </row>
    <row r="45" spans="2:26" x14ac:dyDescent="0.2">
      <c r="B45" s="72" t="s">
        <v>20</v>
      </c>
      <c r="C45" s="50" t="s">
        <v>104</v>
      </c>
      <c r="D45" s="28">
        <v>27502</v>
      </c>
      <c r="E45" s="28" t="s">
        <v>126</v>
      </c>
      <c r="F45" s="51">
        <v>4</v>
      </c>
      <c r="G45" s="73">
        <v>1</v>
      </c>
      <c r="H45" s="74" t="s">
        <v>38</v>
      </c>
      <c r="I45" s="74" t="s">
        <v>26</v>
      </c>
      <c r="J45" s="51">
        <v>4.5</v>
      </c>
      <c r="K45" s="94" t="s">
        <v>39</v>
      </c>
      <c r="L45" s="94" t="s">
        <v>39</v>
      </c>
      <c r="M45" s="75" t="str">
        <f>IF(OR(TablaOrigen[[#This Row],[Asignatura Aprobada]]="SI",TablaOrigen[[#This Row],[Matriculado y Aprobado en 25/26]]="SI"),"SI","NO")</f>
        <v>NO</v>
      </c>
      <c r="O45" t="s">
        <v>20</v>
      </c>
      <c r="P45" s="76" t="s">
        <v>203</v>
      </c>
      <c r="Q45" s="30" t="s">
        <v>206</v>
      </c>
      <c r="R45" s="76" t="s">
        <v>207</v>
      </c>
      <c r="S45" s="76">
        <v>4</v>
      </c>
      <c r="T45" s="76">
        <v>2</v>
      </c>
      <c r="U45" s="76">
        <v>6</v>
      </c>
      <c r="V45" s="77" t="s">
        <v>26</v>
      </c>
      <c r="W45" t="str">
        <f>_xlfn.XLOOKUP(TablaDestino[[#This Row],[ID Asig]],TablaAdaptacionporasignatura[ID Asig],TablaAdaptacionporasignatura[Asignatura Adaptada?],"error")</f>
        <v>NO</v>
      </c>
      <c r="X45" t="str">
        <f>_xlfn.XLOOKUP(TablaDestino[[#This Row],[ID Modulo]],TablaModulosAdaptados[ID Modulo],TablaModulosAdaptados[Módulo Destino Adaptado?])</f>
        <v>NO</v>
      </c>
      <c r="Y45" t="str">
        <f>_xlfn.XLOOKUP(TablaDestino[[#This Row],[ID Asig]],TablaCondicionesParticulares[ID Asig],TablaCondicionesParticulares[Adaptada por condiciones particulares?],"NO")</f>
        <v>NO</v>
      </c>
      <c r="Z45" t="str">
        <f>IF(OR(TablaDestino[[#This Row],[Adaptada por Asignaturas?]]="SI",TablaDestino[[#This Row],[Adaptada por Módulo?]]="SI",TablaDestino[[#This Row],[Adaptada por Cond. Particulares?]]="SI"),"SI","NO")</f>
        <v>NO</v>
      </c>
    </row>
    <row r="46" spans="2:26" x14ac:dyDescent="0.2">
      <c r="B46" s="72" t="s">
        <v>20</v>
      </c>
      <c r="C46" s="50" t="s">
        <v>104</v>
      </c>
      <c r="D46" s="28">
        <v>27503</v>
      </c>
      <c r="E46" s="28" t="s">
        <v>143</v>
      </c>
      <c r="F46" s="51">
        <v>4</v>
      </c>
      <c r="G46" s="73">
        <v>1</v>
      </c>
      <c r="H46" s="74" t="s">
        <v>38</v>
      </c>
      <c r="I46" s="74" t="s">
        <v>26</v>
      </c>
      <c r="J46" s="51">
        <v>4.5</v>
      </c>
      <c r="K46" s="94" t="s">
        <v>39</v>
      </c>
      <c r="L46" s="94" t="s">
        <v>39</v>
      </c>
      <c r="M46" s="75" t="str">
        <f>IF(OR(TablaOrigen[[#This Row],[Asignatura Aprobada]]="SI",TablaOrigen[[#This Row],[Matriculado y Aprobado en 25/26]]="SI"),"SI","NO")</f>
        <v>NO</v>
      </c>
      <c r="O46" t="s">
        <v>20</v>
      </c>
      <c r="P46" s="76" t="s">
        <v>203</v>
      </c>
      <c r="Q46" s="30" t="s">
        <v>210</v>
      </c>
      <c r="R46" s="76" t="s">
        <v>211</v>
      </c>
      <c r="S46" s="76">
        <v>4</v>
      </c>
      <c r="T46" s="76">
        <v>2</v>
      </c>
      <c r="U46" s="76">
        <v>18</v>
      </c>
      <c r="V46" s="77" t="s">
        <v>26</v>
      </c>
      <c r="W46" t="str">
        <f>_xlfn.XLOOKUP(TablaDestino[[#This Row],[ID Asig]],TablaAdaptacionporasignatura[ID Asig],TablaAdaptacionporasignatura[Asignatura Adaptada?],"error")</f>
        <v>NO</v>
      </c>
      <c r="X46" t="str">
        <f>_xlfn.XLOOKUP(TablaDestino[[#This Row],[ID Modulo]],TablaModulosAdaptados[ID Modulo],TablaModulosAdaptados[Módulo Destino Adaptado?])</f>
        <v>NO</v>
      </c>
      <c r="Y46" t="str">
        <f>_xlfn.XLOOKUP(TablaDestino[[#This Row],[ID Asig]],TablaCondicionesParticulares[ID Asig],TablaCondicionesParticulares[Adaptada por condiciones particulares?],"NO")</f>
        <v>NO</v>
      </c>
      <c r="Z46" t="str">
        <f>IF(OR(TablaDestino[[#This Row],[Adaptada por Asignaturas?]]="SI",TablaDestino[[#This Row],[Adaptada por Módulo?]]="SI",TablaDestino[[#This Row],[Adaptada por Cond. Particulares?]]="SI"),"SI","NO")</f>
        <v>NO</v>
      </c>
    </row>
    <row r="47" spans="2:26" x14ac:dyDescent="0.2">
      <c r="B47" s="72" t="s">
        <v>20</v>
      </c>
      <c r="C47" s="50" t="s">
        <v>104</v>
      </c>
      <c r="D47" s="28">
        <v>27499</v>
      </c>
      <c r="E47" s="28" t="s">
        <v>145</v>
      </c>
      <c r="F47" s="51">
        <v>4</v>
      </c>
      <c r="G47" s="73">
        <v>1</v>
      </c>
      <c r="H47" s="74" t="s">
        <v>38</v>
      </c>
      <c r="I47" s="74" t="s">
        <v>26</v>
      </c>
      <c r="J47" s="51">
        <v>4.5</v>
      </c>
      <c r="K47" s="94" t="s">
        <v>39</v>
      </c>
      <c r="L47" s="94" t="s">
        <v>39</v>
      </c>
      <c r="M47" s="75" t="str">
        <f>IF(OR(TablaOrigen[[#This Row],[Asignatura Aprobada]]="SI",TablaOrigen[[#This Row],[Matriculado y Aprobado en 25/26]]="SI"),"SI","NO")</f>
        <v>NO</v>
      </c>
      <c r="O47" t="s">
        <v>20</v>
      </c>
      <c r="P47" s="76" t="s">
        <v>203</v>
      </c>
      <c r="Q47" s="30" t="s">
        <v>214</v>
      </c>
      <c r="R47" s="76" t="s">
        <v>215</v>
      </c>
      <c r="S47" s="76">
        <v>4</v>
      </c>
      <c r="T47" s="76">
        <v>2</v>
      </c>
      <c r="U47" s="76">
        <v>6</v>
      </c>
      <c r="V47" s="77" t="s">
        <v>26</v>
      </c>
      <c r="W47" t="str">
        <f>_xlfn.XLOOKUP(TablaDestino[[#This Row],[ID Asig]],TablaAdaptacionporasignatura[ID Asig],TablaAdaptacionporasignatura[Asignatura Adaptada?],"error")</f>
        <v>NO</v>
      </c>
      <c r="X47" t="str">
        <f>_xlfn.XLOOKUP(TablaDestino[[#This Row],[ID Modulo]],TablaModulosAdaptados[ID Modulo],TablaModulosAdaptados[Módulo Destino Adaptado?])</f>
        <v>NO</v>
      </c>
      <c r="Y47" t="str">
        <f>_xlfn.XLOOKUP(TablaDestino[[#This Row],[ID Asig]],TablaCondicionesParticulares[ID Asig],TablaCondicionesParticulares[Adaptada por condiciones particulares?],"NO")</f>
        <v>NO</v>
      </c>
      <c r="Z47" t="str">
        <f>IF(OR(TablaDestino[[#This Row],[Adaptada por Asignaturas?]]="SI",TablaDestino[[#This Row],[Adaptada por Módulo?]]="SI",TablaDestino[[#This Row],[Adaptada por Cond. Particulares?]]="SI"),"SI","NO")</f>
        <v>NO</v>
      </c>
    </row>
    <row r="48" spans="2:26" x14ac:dyDescent="0.2">
      <c r="B48" s="72" t="s">
        <v>20</v>
      </c>
      <c r="C48" s="50" t="s">
        <v>104</v>
      </c>
      <c r="D48" s="28">
        <v>27498</v>
      </c>
      <c r="E48" s="28" t="s">
        <v>148</v>
      </c>
      <c r="F48" s="51">
        <v>4</v>
      </c>
      <c r="G48" s="73">
        <v>1</v>
      </c>
      <c r="H48" s="74" t="s">
        <v>38</v>
      </c>
      <c r="I48" s="74" t="s">
        <v>26</v>
      </c>
      <c r="J48" s="51">
        <v>4.5</v>
      </c>
      <c r="K48" s="94" t="s">
        <v>39</v>
      </c>
      <c r="L48" s="94" t="s">
        <v>39</v>
      </c>
      <c r="M48" s="75" t="str">
        <f>IF(OR(TablaOrigen[[#This Row],[Asignatura Aprobada]]="SI",TablaOrigen[[#This Row],[Matriculado y Aprobado en 25/26]]="SI"),"SI","NO")</f>
        <v>NO</v>
      </c>
    </row>
    <row r="49" spans="2:26" x14ac:dyDescent="0.2">
      <c r="B49" s="72" t="s">
        <v>20</v>
      </c>
      <c r="C49" s="50" t="s">
        <v>140</v>
      </c>
      <c r="D49" s="28">
        <v>28279</v>
      </c>
      <c r="E49" s="28" t="s">
        <v>142</v>
      </c>
      <c r="F49" s="51">
        <v>4</v>
      </c>
      <c r="G49" s="73">
        <v>1</v>
      </c>
      <c r="H49" s="74" t="s">
        <v>38</v>
      </c>
      <c r="I49" s="74" t="s">
        <v>26</v>
      </c>
      <c r="J49" s="51">
        <v>6</v>
      </c>
      <c r="K49" s="94" t="s">
        <v>39</v>
      </c>
      <c r="L49" s="94" t="s">
        <v>39</v>
      </c>
      <c r="M49" s="75" t="str">
        <f>IF(OR(TablaOrigen[[#This Row],[Asignatura Aprobada]]="SI",TablaOrigen[[#This Row],[Matriculado y Aprobado en 25/26]]="SI"),"SI","NO")</f>
        <v>NO</v>
      </c>
    </row>
    <row r="50" spans="2:26" x14ac:dyDescent="0.2">
      <c r="B50" s="78" t="s">
        <v>21</v>
      </c>
      <c r="C50" s="79" t="s">
        <v>138</v>
      </c>
      <c r="D50" s="29">
        <v>27506</v>
      </c>
      <c r="E50" s="29" t="s">
        <v>139</v>
      </c>
      <c r="F50" s="80">
        <v>4</v>
      </c>
      <c r="G50" s="81">
        <v>2</v>
      </c>
      <c r="H50" s="82" t="s">
        <v>38</v>
      </c>
      <c r="I50" s="74" t="s">
        <v>24</v>
      </c>
      <c r="J50" s="80">
        <v>30</v>
      </c>
      <c r="K50" s="94" t="s">
        <v>39</v>
      </c>
      <c r="L50" s="95" t="s">
        <v>39</v>
      </c>
      <c r="M50" s="83" t="str">
        <f>IF(OR(TablaOrigen[[#This Row],[Asignatura Aprobada]]="SI",TablaOrigen[[#This Row],[Matriculado y Aprobado en 25/26]]="SI"),"SI","NO")</f>
        <v>NO</v>
      </c>
    </row>
    <row r="51" spans="2:26" x14ac:dyDescent="0.2">
      <c r="B51" s="84"/>
      <c r="C51" s="84"/>
      <c r="D51" s="84"/>
      <c r="J51" s="85"/>
      <c r="R51" s="86"/>
    </row>
    <row r="52" spans="2:26" x14ac:dyDescent="0.2">
      <c r="B52" s="84"/>
      <c r="C52" s="84"/>
      <c r="E52" s="24"/>
      <c r="F52" s="24"/>
      <c r="J52" s="85"/>
    </row>
    <row r="53" spans="2:26" ht="64" customHeight="1" x14ac:dyDescent="0.2">
      <c r="B53" s="84"/>
      <c r="C53" s="84"/>
      <c r="D53" s="87" t="s">
        <v>314</v>
      </c>
      <c r="E53" s="88" t="s">
        <v>342</v>
      </c>
      <c r="F53" s="89" t="s">
        <v>340</v>
      </c>
      <c r="J53" s="85"/>
      <c r="O53" s="97" t="s">
        <v>349</v>
      </c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</row>
    <row r="54" spans="2:26" x14ac:dyDescent="0.2">
      <c r="B54" s="84"/>
      <c r="D54" s="7" t="s">
        <v>315</v>
      </c>
      <c r="E54" s="49" t="s">
        <v>303</v>
      </c>
      <c r="F54" s="74" t="str">
        <f>_xlfn.XLOOKUP(Tabla2[[#This Row],[Código]],Tabla1[Código],Tabla1[Aprobado?])</f>
        <v>NO</v>
      </c>
      <c r="J54" s="85"/>
      <c r="O54" s="55" t="s">
        <v>42</v>
      </c>
      <c r="P54" s="55" t="s">
        <v>14</v>
      </c>
      <c r="Q54" s="55" t="s">
        <v>30</v>
      </c>
      <c r="R54" s="55" t="s">
        <v>0</v>
      </c>
      <c r="S54" s="55" t="s">
        <v>5</v>
      </c>
      <c r="T54" s="55" t="s">
        <v>1</v>
      </c>
      <c r="U54" s="55" t="s">
        <v>15</v>
      </c>
      <c r="V54" s="55" t="s">
        <v>31</v>
      </c>
      <c r="W54" s="55" t="s">
        <v>294</v>
      </c>
      <c r="X54" s="55" t="s">
        <v>83</v>
      </c>
      <c r="Y54" s="55" t="s">
        <v>54</v>
      </c>
      <c r="Z54" s="55" t="s">
        <v>89</v>
      </c>
    </row>
    <row r="55" spans="2:26" x14ac:dyDescent="0.2">
      <c r="B55" s="84"/>
      <c r="D55" s="7" t="s">
        <v>316</v>
      </c>
      <c r="E55" s="49" t="s">
        <v>304</v>
      </c>
      <c r="F55" s="74" t="str">
        <f>_xlfn.XLOOKUP(Tabla2[[#This Row],[Código]],Tabla1[Código],Tabla1[Aprobado?])</f>
        <v>NO</v>
      </c>
      <c r="J55" s="85"/>
      <c r="O55" s="5" t="s">
        <v>20</v>
      </c>
      <c r="P55" s="5" t="s">
        <v>29</v>
      </c>
      <c r="Q55" s="5" t="s">
        <v>55</v>
      </c>
      <c r="R55" s="5" t="s">
        <v>218</v>
      </c>
      <c r="S55" s="5">
        <v>4</v>
      </c>
      <c r="T55" s="5">
        <v>1</v>
      </c>
      <c r="U55" s="5">
        <v>6</v>
      </c>
      <c r="V55" s="5" t="s">
        <v>26</v>
      </c>
      <c r="W55" s="5"/>
      <c r="X55" s="5" t="str">
        <f>_xlfn.XLOOKUP(TablaDestinoOptativas[[#This Row],[ID Asig]],TablaAdaptacionOptativas[Codigo Asignatura],TablaAdaptacionOptativas[Opt1],"NO")</f>
        <v>NO</v>
      </c>
      <c r="Y55" s="5" t="str">
        <f>_xlfn.XLOOKUP(TablaDestinoOptativas[[#This Row],[ID Asig]],TablaCondicionesParticulares[ID Asig],TablaCondicionesParticulares[Adaptada por condiciones particulares?])</f>
        <v>NO</v>
      </c>
      <c r="Z55" s="5" t="str">
        <f>IF(OR(TablaDestinoOptativas[[#This Row],[Adaptada por Optativa?]]="SI",TablaDestinoOptativas[[#This Row],[Adaptada por Cond. Particulares?]]="SI"),"SI","NO")</f>
        <v>NO</v>
      </c>
    </row>
    <row r="56" spans="2:26" x14ac:dyDescent="0.2">
      <c r="B56" s="84"/>
      <c r="D56" s="7" t="s">
        <v>317</v>
      </c>
      <c r="E56" s="49" t="s">
        <v>305</v>
      </c>
      <c r="F56" s="74" t="str">
        <f>_xlfn.XLOOKUP(Tabla2[[#This Row],[Código]],Tabla1[Código],Tabla1[Aprobado?])</f>
        <v>NO</v>
      </c>
      <c r="O56" s="5" t="s">
        <v>20</v>
      </c>
      <c r="P56" s="5" t="s">
        <v>29</v>
      </c>
      <c r="Q56" s="5" t="s">
        <v>56</v>
      </c>
      <c r="R56" s="5" t="s">
        <v>218</v>
      </c>
      <c r="S56" s="5">
        <v>4</v>
      </c>
      <c r="T56" s="5">
        <v>1</v>
      </c>
      <c r="U56" s="5">
        <v>6</v>
      </c>
      <c r="V56" s="5" t="s">
        <v>26</v>
      </c>
      <c r="W56" s="5"/>
      <c r="X56" s="5" t="str">
        <f>_xlfn.XLOOKUP(TablaDestinoOptativas[[#This Row],[ID Asig]],TablaAdaptacionOptativas[Codigo Asignatura],TablaAdaptacionOptativas[Opt1],"NO")</f>
        <v>NO</v>
      </c>
      <c r="Y56" s="5" t="str">
        <f>_xlfn.XLOOKUP(TablaDestinoOptativas[[#This Row],[ID Asig]],TablaCondicionesParticulares[ID Asig],TablaCondicionesParticulares[Adaptada por condiciones particulares?])</f>
        <v>NO</v>
      </c>
      <c r="Z56" s="5" t="str">
        <f>IF(OR(TablaDestinoOptativas[[#This Row],[Adaptada por Optativa?]]="SI",TablaDestinoOptativas[[#This Row],[Adaptada por Cond. Particulares?]]="SI"),"SI","NO")</f>
        <v>NO</v>
      </c>
    </row>
    <row r="57" spans="2:26" x14ac:dyDescent="0.2">
      <c r="B57" s="84"/>
      <c r="D57" s="7" t="s">
        <v>318</v>
      </c>
      <c r="E57" s="49" t="s">
        <v>306</v>
      </c>
      <c r="F57" s="74" t="str">
        <f>_xlfn.XLOOKUP(Tabla2[[#This Row],[Código]],Tabla1[Código],Tabla1[Aprobado?])</f>
        <v>NO</v>
      </c>
      <c r="J57" s="85"/>
      <c r="O57" s="5" t="s">
        <v>20</v>
      </c>
      <c r="P57" s="5" t="s">
        <v>29</v>
      </c>
      <c r="Q57" s="5" t="s">
        <v>291</v>
      </c>
      <c r="R57" s="5" t="s">
        <v>218</v>
      </c>
      <c r="S57" s="5">
        <v>4</v>
      </c>
      <c r="T57" s="5">
        <v>1</v>
      </c>
      <c r="U57" s="5">
        <v>6</v>
      </c>
      <c r="V57" s="5" t="s">
        <v>26</v>
      </c>
      <c r="W57" s="5"/>
      <c r="X57" s="5" t="str">
        <f>_xlfn.XLOOKUP(TablaDestinoOptativas[[#This Row],[ID Asig]],TablaAdaptacionOptativas[Codigo Asignatura],TablaAdaptacionOptativas[Opt1],"NO")</f>
        <v>NO</v>
      </c>
      <c r="Y57" s="5" t="str">
        <f>_xlfn.XLOOKUP(TablaDestinoOptativas[[#This Row],[ID Asig]],TablaCondicionesParticulares[ID Asig],TablaCondicionesParticulares[Adaptada por condiciones particulares?])</f>
        <v>NO</v>
      </c>
      <c r="Z57" s="5" t="str">
        <f>IF(OR(TablaDestinoOptativas[[#This Row],[Adaptada por Optativa?]]="SI",TablaDestinoOptativas[[#This Row],[Adaptada por Cond. Particulares?]]="SI"),"SI","NO")</f>
        <v>NO</v>
      </c>
    </row>
    <row r="58" spans="2:26" x14ac:dyDescent="0.2">
      <c r="B58" s="84"/>
      <c r="D58" s="7" t="s">
        <v>319</v>
      </c>
      <c r="E58" s="49" t="s">
        <v>307</v>
      </c>
      <c r="F58" s="74" t="str">
        <f>_xlfn.XLOOKUP(Tabla2[[#This Row],[Código]],Tabla1[Código],Tabla1[Aprobado?])</f>
        <v>NO</v>
      </c>
      <c r="J58" s="85"/>
      <c r="O58" s="5" t="s">
        <v>20</v>
      </c>
      <c r="P58" s="5" t="s">
        <v>29</v>
      </c>
      <c r="Q58" s="5" t="s">
        <v>292</v>
      </c>
      <c r="R58" s="5" t="s">
        <v>218</v>
      </c>
      <c r="S58" s="5">
        <v>4</v>
      </c>
      <c r="T58" s="5">
        <v>1</v>
      </c>
      <c r="U58" s="5">
        <v>6</v>
      </c>
      <c r="V58" s="5" t="s">
        <v>26</v>
      </c>
      <c r="W58" s="5"/>
      <c r="X58" s="5" t="str">
        <f>_xlfn.XLOOKUP(TablaDestinoOptativas[[#This Row],[ID Asig]],TablaAdaptacionOptativas[Codigo Asignatura],TablaAdaptacionOptativas[Opt1],"NO")</f>
        <v>NO</v>
      </c>
      <c r="Y58" s="5" t="str">
        <f>_xlfn.XLOOKUP(TablaDestinoOptativas[[#This Row],[ID Asig]],TablaCondicionesParticulares[ID Asig],TablaCondicionesParticulares[Adaptada por condiciones particulares?])</f>
        <v>NO</v>
      </c>
      <c r="Z58" s="5" t="str">
        <f>IF(OR(TablaDestinoOptativas[[#This Row],[Adaptada por Optativa?]]="SI",TablaDestinoOptativas[[#This Row],[Adaptada por Cond. Particulares?]]="SI"),"SI","NO")</f>
        <v>NO</v>
      </c>
    </row>
    <row r="59" spans="2:26" x14ac:dyDescent="0.2">
      <c r="B59" s="84"/>
      <c r="D59" s="7" t="s">
        <v>320</v>
      </c>
      <c r="E59" s="49" t="s">
        <v>308</v>
      </c>
      <c r="F59" s="74" t="str">
        <f>_xlfn.XLOOKUP(Tabla2[[#This Row],[Código]],Tabla1[Código],Tabla1[Aprobado?])</f>
        <v>NO</v>
      </c>
      <c r="J59" s="85"/>
    </row>
    <row r="60" spans="2:26" x14ac:dyDescent="0.2">
      <c r="D60" s="7" t="s">
        <v>321</v>
      </c>
      <c r="E60" s="49" t="s">
        <v>309</v>
      </c>
      <c r="F60" s="74" t="str">
        <f>_xlfn.XLOOKUP(Tabla2[[#This Row],[Código]],Tabla1[Código],Tabla1[Aprobado?])</f>
        <v>NO</v>
      </c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2:26" x14ac:dyDescent="0.2">
      <c r="D61" s="7" t="s">
        <v>322</v>
      </c>
      <c r="E61" s="49" t="s">
        <v>310</v>
      </c>
      <c r="F61" s="74" t="str">
        <f>_xlfn.XLOOKUP(Tabla2[[#This Row],[Código]],Tabla1[Código],Tabla1[Aprobado?])</f>
        <v>NO</v>
      </c>
    </row>
    <row r="62" spans="2:26" ht="16" customHeight="1" x14ac:dyDescent="0.2">
      <c r="D62" s="7" t="s">
        <v>323</v>
      </c>
      <c r="E62" s="49" t="s">
        <v>311</v>
      </c>
      <c r="F62" s="74" t="str">
        <f>_xlfn.XLOOKUP(Tabla2[[#This Row],[Código]],Tabla1[Código],Tabla1[Aprobado?])</f>
        <v>NO</v>
      </c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1"/>
      <c r="R62" s="91"/>
      <c r="S62" s="89"/>
    </row>
    <row r="63" spans="2:26" x14ac:dyDescent="0.2">
      <c r="D63" s="7" t="s">
        <v>324</v>
      </c>
      <c r="E63" s="49" t="s">
        <v>312</v>
      </c>
      <c r="F63" s="74" t="str">
        <f>_xlfn.XLOOKUP(Tabla2[[#This Row],[Código]],Tabla1[Código],Tabla1[Aprobado?])</f>
        <v>NO</v>
      </c>
      <c r="Q63" s="5"/>
      <c r="R63" s="92"/>
      <c r="S63" s="93"/>
    </row>
    <row r="64" spans="2:26" x14ac:dyDescent="0.2">
      <c r="Q64" s="5"/>
      <c r="R64" s="92"/>
      <c r="S64" s="93"/>
    </row>
    <row r="65" spans="17:19" x14ac:dyDescent="0.2">
      <c r="Q65" s="5"/>
      <c r="R65" s="92"/>
      <c r="S65" s="93"/>
    </row>
    <row r="66" spans="17:19" x14ac:dyDescent="0.2">
      <c r="Q66" s="5"/>
      <c r="R66" s="92"/>
      <c r="S66" s="93"/>
    </row>
    <row r="67" spans="17:19" x14ac:dyDescent="0.2">
      <c r="Q67" s="5"/>
      <c r="R67" s="92"/>
      <c r="S67" s="93"/>
    </row>
    <row r="68" spans="17:19" x14ac:dyDescent="0.2">
      <c r="Q68" s="5"/>
      <c r="R68" s="92"/>
      <c r="S68" s="93"/>
    </row>
    <row r="69" spans="17:19" x14ac:dyDescent="0.2">
      <c r="Q69" s="5"/>
      <c r="R69" s="92"/>
      <c r="S69" s="93"/>
    </row>
    <row r="70" spans="17:19" x14ac:dyDescent="0.2">
      <c r="Q70" s="5"/>
      <c r="R70" s="92"/>
      <c r="S70" s="93"/>
    </row>
    <row r="71" spans="17:19" x14ac:dyDescent="0.2">
      <c r="Q71" s="5"/>
      <c r="R71" s="92"/>
      <c r="S71" s="93"/>
    </row>
    <row r="72" spans="17:19" x14ac:dyDescent="0.2">
      <c r="Q72" s="5"/>
      <c r="R72" s="92"/>
      <c r="S72" s="93"/>
    </row>
  </sheetData>
  <sheetProtection algorithmName="SHA-512" hashValue="VGvB9W/Iv3u3NU3LfdZPz5Htoe3pJ2phiFH5ZNiZnr3w++zb7nHE8myXvTBhLgGLC/jOFtKcw0QziNp665Gl1A==" saltValue="1afPcHCrOsxG2ZGRQH9YiA==" spinCount="100000" sheet="1" objects="1" scenarios="1"/>
  <mergeCells count="7">
    <mergeCell ref="O53:Z53"/>
    <mergeCell ref="F2:K2"/>
    <mergeCell ref="F3:K3"/>
    <mergeCell ref="O6:U6"/>
    <mergeCell ref="D2:E2"/>
    <mergeCell ref="D6:J6"/>
    <mergeCell ref="K6:L6"/>
  </mergeCells>
  <phoneticPr fontId="15" type="noConversion"/>
  <conditionalFormatting sqref="F54:F63">
    <cfRule type="cellIs" dxfId="3" priority="2" operator="equal">
      <formula>"SI"</formula>
    </cfRule>
  </conditionalFormatting>
  <conditionalFormatting sqref="K8:K50 L8:M59">
    <cfRule type="containsText" dxfId="2" priority="3" operator="containsText" text="SI">
      <formula>NOT(ISERROR(SEARCH("SI",K8)))</formula>
    </cfRule>
  </conditionalFormatting>
  <conditionalFormatting sqref="S63:S72">
    <cfRule type="cellIs" dxfId="1" priority="1" operator="equal">
      <formula>"SI"</formula>
    </cfRule>
  </conditionalFormatting>
  <conditionalFormatting sqref="Z8:Z47 Z55:Z58">
    <cfRule type="cellIs" dxfId="0" priority="93" operator="equal">
      <formula>"SI"</formula>
    </cfRule>
  </conditionalFormatting>
  <pageMargins left="0.7" right="0.7" top="0.75" bottom="0.75" header="0.3" footer="0.3"/>
  <pageSetup paperSize="9" orientation="portrait" horizontalDpi="0" verticalDpi="0"/>
  <tableParts count="4">
    <tablePart r:id="rId1"/>
    <tablePart r:id="rId2"/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96DC075-078E-5C41-AEBC-DF27ED9DB641}">
          <x14:formula1>
            <xm:f>Especialidades!$C$8:$C$10</xm:f>
          </x14:formula1>
          <xm:sqref>E3</xm:sqref>
        </x14:dataValidation>
        <x14:dataValidation type="list" allowBlank="1" showInputMessage="1" showErrorMessage="1" xr:uid="{72675F37-1B3B-354F-B2F7-4BAFDAC2774B}">
          <x14:formula1>
            <xm:f>Especialidades!$B$9:$B$10</xm:f>
          </x14:formula1>
          <xm:sqref>M8:M50</xm:sqref>
        </x14:dataValidation>
        <x14:dataValidation type="list" allowBlank="1" showInputMessage="1" showErrorMessage="1" errorTitle="x" error="Introduce SI o NO" xr:uid="{DE25A3E9-DB20-CF4E-8780-5A7209121D50}">
          <x14:formula1>
            <xm:f>Especialidades!$B$9:$B$10</xm:f>
          </x14:formula1>
          <xm:sqref>K8:L50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17BBE-B482-2147-BCBD-5F7A33DA2748}">
  <dimension ref="B2:T33"/>
  <sheetViews>
    <sheetView workbookViewId="0">
      <selection activeCell="D48" sqref="D48"/>
    </sheetView>
  </sheetViews>
  <sheetFormatPr baseColWidth="10" defaultRowHeight="16" x14ac:dyDescent="0.2"/>
  <cols>
    <col min="3" max="3" width="76.1640625" customWidth="1"/>
    <col min="4" max="8" width="13.33203125" customWidth="1"/>
    <col min="9" max="14" width="17.5" customWidth="1"/>
    <col min="15" max="19" width="21.33203125" customWidth="1"/>
    <col min="20" max="20" width="12" customWidth="1"/>
  </cols>
  <sheetData>
    <row r="2" spans="2:20" x14ac:dyDescent="0.2">
      <c r="D2" s="28" t="s">
        <v>112</v>
      </c>
      <c r="E2" s="43" t="s">
        <v>118</v>
      </c>
      <c r="F2" s="28" t="s">
        <v>119</v>
      </c>
      <c r="G2" s="43" t="s">
        <v>117</v>
      </c>
      <c r="H2" s="28" t="s">
        <v>123</v>
      </c>
      <c r="I2" s="43" t="s">
        <v>129</v>
      </c>
    </row>
    <row r="3" spans="2:20" x14ac:dyDescent="0.2">
      <c r="D3" s="28">
        <v>27447</v>
      </c>
      <c r="E3" s="43">
        <v>27453</v>
      </c>
      <c r="F3" s="28">
        <v>27457</v>
      </c>
      <c r="G3" s="43">
        <v>27456</v>
      </c>
      <c r="H3" s="28">
        <v>27455</v>
      </c>
      <c r="I3" s="43">
        <v>27489</v>
      </c>
    </row>
    <row r="7" spans="2:20" x14ac:dyDescent="0.2">
      <c r="B7" s="103" t="s">
        <v>343</v>
      </c>
      <c r="C7" s="103"/>
    </row>
    <row r="8" spans="2:20" x14ac:dyDescent="0.2">
      <c r="B8" s="44" t="s">
        <v>314</v>
      </c>
      <c r="C8" s="1" t="s">
        <v>313</v>
      </c>
      <c r="D8" t="s">
        <v>325</v>
      </c>
      <c r="E8" t="s">
        <v>326</v>
      </c>
      <c r="F8" t="s">
        <v>327</v>
      </c>
      <c r="G8" t="s">
        <v>328</v>
      </c>
      <c r="H8" t="s">
        <v>329</v>
      </c>
      <c r="I8" t="s">
        <v>330</v>
      </c>
      <c r="J8" t="s">
        <v>331</v>
      </c>
      <c r="K8" t="s">
        <v>332</v>
      </c>
      <c r="L8" t="s">
        <v>333</v>
      </c>
      <c r="M8" t="s">
        <v>334</v>
      </c>
      <c r="N8" t="s">
        <v>341</v>
      </c>
      <c r="O8" t="s">
        <v>335</v>
      </c>
      <c r="P8" t="s">
        <v>336</v>
      </c>
      <c r="Q8" t="s">
        <v>337</v>
      </c>
      <c r="R8" t="s">
        <v>338</v>
      </c>
      <c r="S8" t="s">
        <v>339</v>
      </c>
      <c r="T8" t="s">
        <v>340</v>
      </c>
    </row>
    <row r="9" spans="2:20" x14ac:dyDescent="0.2">
      <c r="B9" s="44" t="s">
        <v>315</v>
      </c>
      <c r="C9" s="42" t="s">
        <v>303</v>
      </c>
      <c r="D9" s="28">
        <v>27455</v>
      </c>
      <c r="I9" t="str">
        <f>_xlfn.XLOOKUP(Tabla1[[#This Row],[Asignatura 1]],TablaOrigen[Cod. As.],TablaOrigen[Desc.Asignatura PLAN ACTUAL],"")</f>
        <v>Seguridad Aplicada</v>
      </c>
      <c r="J9" t="str">
        <f>_xlfn.XLOOKUP(Tabla1[[#This Row],[Asignatura 2]],TablaOrigen[Cod. As.],TablaOrigen[Desc.Asignatura PLAN ACTUAL],"")</f>
        <v/>
      </c>
      <c r="K9" t="str">
        <f>_xlfn.XLOOKUP(Tabla1[[#This Row],[Asignatura 3]],TablaOrigen[Cod. As.],TablaOrigen[Desc.Asignatura PLAN ACTUAL],"")</f>
        <v/>
      </c>
      <c r="L9" t="str">
        <f>_xlfn.XLOOKUP(Tabla1[[#This Row],[Asignatura 4]],TablaOrigen[Cod. As.],TablaOrigen[Desc.Asignatura PLAN ACTUAL],"")</f>
        <v/>
      </c>
      <c r="M9" t="str">
        <f>_xlfn.XLOOKUP(Tabla1[[#This Row],[Asignatura 5]],TablaOrigen[Cod. As.],TablaOrigen[Desc.Asignatura PLAN ACTUAL],"")</f>
        <v/>
      </c>
      <c r="N9">
        <f>5-COUNTBLANK(Tabla1[[#This Row],[Asignatura 1]:[Asignatura 5]])</f>
        <v>1</v>
      </c>
      <c r="O9" t="str">
        <f>_xlfn.XLOOKUP(Tabla1[[#This Row],[Asignatura 1]],TablaOrigen[Cod. As.],TablaOrigen[Asignatura a procesar?],"")</f>
        <v>NO</v>
      </c>
      <c r="P9" t="str">
        <f>_xlfn.XLOOKUP(Tabla1[[#This Row],[Asignatura 2]],TablaOrigen[Cod. As.],TablaOrigen[Asignatura a procesar?],"")</f>
        <v/>
      </c>
      <c r="Q9" t="str">
        <f>_xlfn.XLOOKUP(Tabla1[[#This Row],[Asignatura 3]],TablaOrigen[Cod. As.],TablaOrigen[Asignatura a procesar?],"")</f>
        <v/>
      </c>
      <c r="R9" t="str">
        <f>_xlfn.XLOOKUP(Tabla1[[#This Row],[Asignatura 4]],TablaOrigen[Cod. As.],TablaOrigen[Asignatura a procesar?],"")</f>
        <v/>
      </c>
      <c r="S9" t="str">
        <f>_xlfn.XLOOKUP(Tabla1[[#This Row],[Asignatura 5]],TablaOrigen[Cod. As.],TablaOrigen[Asignatura a procesar?],"")</f>
        <v/>
      </c>
      <c r="T9" t="str">
        <f>IF(COUNTIFS(Tabla1[[#This Row],[Aprobada Asignatura 1]:[Aprobada Asignatura 5]],"SI")=Tabla1[[#This Row],[Número asignaturas]],"SI","NO")</f>
        <v>NO</v>
      </c>
    </row>
    <row r="10" spans="2:20" x14ac:dyDescent="0.2">
      <c r="B10" s="44" t="s">
        <v>316</v>
      </c>
      <c r="C10" s="42" t="s">
        <v>304</v>
      </c>
      <c r="D10" s="28">
        <v>27455</v>
      </c>
      <c r="E10" s="43">
        <v>27453</v>
      </c>
      <c r="I10" t="str">
        <f>_xlfn.XLOOKUP(Tabla1[[#This Row],[Asignatura 1]],TablaOrigen[Cod. As.],TablaOrigen[Desc.Asignatura PLAN ACTUAL],"")</f>
        <v>Seguridad Aplicada</v>
      </c>
      <c r="J10" t="str">
        <f>_xlfn.XLOOKUP(Tabla1[[#This Row],[Asignatura 2]],TablaOrigen[Cod. As.],TablaOrigen[Desc.Asignatura PLAN ACTUAL],"")</f>
        <v>Seguridad del Buque y Prevención de la Contaminación</v>
      </c>
      <c r="K10" t="str">
        <f>_xlfn.XLOOKUP(Tabla1[[#This Row],[Asignatura 3]],TablaOrigen[Cod. As.],TablaOrigen[Desc.Asignatura PLAN ACTUAL],"")</f>
        <v/>
      </c>
      <c r="L10" t="str">
        <f>_xlfn.XLOOKUP(Tabla1[[#This Row],[Asignatura 4]],TablaOrigen[Cod. As.],TablaOrigen[Desc.Asignatura PLAN ACTUAL],"")</f>
        <v/>
      </c>
      <c r="M10" t="str">
        <f>_xlfn.XLOOKUP(Tabla1[[#This Row],[Asignatura 5]],TablaOrigen[Cod. As.],TablaOrigen[Desc.Asignatura PLAN ACTUAL],"")</f>
        <v/>
      </c>
      <c r="N10">
        <f>5-COUNTBLANK(Tabla1[[#This Row],[Asignatura 1]:[Asignatura 5]])</f>
        <v>2</v>
      </c>
      <c r="O10" t="str">
        <f>_xlfn.XLOOKUP(Tabla1[[#This Row],[Asignatura 1]],TablaOrigen[Cod. As.],TablaOrigen[Asignatura a procesar?],"")</f>
        <v>NO</v>
      </c>
      <c r="P10" t="str">
        <f>_xlfn.XLOOKUP(Tabla1[[#This Row],[Asignatura 2]],TablaOrigen[Cod. As.],TablaOrigen[Asignatura a procesar?],"")</f>
        <v>NO</v>
      </c>
      <c r="Q10" t="str">
        <f>_xlfn.XLOOKUP(Tabla1[[#This Row],[Asignatura 3]],TablaOrigen[Cod. As.],TablaOrigen[Asignatura a procesar?],"")</f>
        <v/>
      </c>
      <c r="R10" t="str">
        <f>_xlfn.XLOOKUP(Tabla1[[#This Row],[Asignatura 4]],TablaOrigen[Cod. As.],TablaOrigen[Asignatura a procesar?],"")</f>
        <v/>
      </c>
      <c r="S10" t="str">
        <f>_xlfn.XLOOKUP(Tabla1[[#This Row],[Asignatura 5]],TablaOrigen[Cod. As.],TablaOrigen[Asignatura a procesar?],"")</f>
        <v/>
      </c>
      <c r="T10" t="str">
        <f>IF(COUNTIFS(Tabla1[[#This Row],[Aprobada Asignatura 1]:[Aprobada Asignatura 5]],"SI")=Tabla1[[#This Row],[Número asignaturas]],"SI","NO")</f>
        <v>NO</v>
      </c>
    </row>
    <row r="11" spans="2:20" x14ac:dyDescent="0.2">
      <c r="B11" s="44" t="s">
        <v>317</v>
      </c>
      <c r="C11" s="42" t="s">
        <v>305</v>
      </c>
      <c r="D11" s="43">
        <v>27489</v>
      </c>
      <c r="I11" t="str">
        <f>_xlfn.XLOOKUP(Tabla1[[#This Row],[Asignatura 1]],TablaOrigen[Cod. As.],TablaOrigen[Desc.Asignatura PLAN ACTUAL],"")</f>
        <v>Transportes Especiales</v>
      </c>
      <c r="J11" t="str">
        <f>_xlfn.XLOOKUP(Tabla1[[#This Row],[Asignatura 2]],TablaOrigen[Cod. As.],TablaOrigen[Desc.Asignatura PLAN ACTUAL],"")</f>
        <v/>
      </c>
      <c r="K11" t="str">
        <f>_xlfn.XLOOKUP(Tabla1[[#This Row],[Asignatura 3]],TablaOrigen[Cod. As.],TablaOrigen[Desc.Asignatura PLAN ACTUAL],"")</f>
        <v/>
      </c>
      <c r="L11" t="str">
        <f>_xlfn.XLOOKUP(Tabla1[[#This Row],[Asignatura 4]],TablaOrigen[Cod. As.],TablaOrigen[Desc.Asignatura PLAN ACTUAL],"")</f>
        <v/>
      </c>
      <c r="M11" t="str">
        <f>_xlfn.XLOOKUP(Tabla1[[#This Row],[Asignatura 5]],TablaOrigen[Cod. As.],TablaOrigen[Desc.Asignatura PLAN ACTUAL],"")</f>
        <v/>
      </c>
      <c r="N11">
        <f>5-COUNTBLANK(Tabla1[[#This Row],[Asignatura 1]:[Asignatura 5]])</f>
        <v>1</v>
      </c>
      <c r="O11" t="str">
        <f>_xlfn.XLOOKUP(Tabla1[[#This Row],[Asignatura 1]],TablaOrigen[Cod. As.],TablaOrigen[Asignatura a procesar?],"")</f>
        <v>NO</v>
      </c>
      <c r="P11" t="str">
        <f>_xlfn.XLOOKUP(Tabla1[[#This Row],[Asignatura 2]],TablaOrigen[Cod. As.],TablaOrigen[Asignatura a procesar?],"")</f>
        <v/>
      </c>
      <c r="Q11" t="str">
        <f>_xlfn.XLOOKUP(Tabla1[[#This Row],[Asignatura 3]],TablaOrigen[Cod. As.],TablaOrigen[Asignatura a procesar?],"")</f>
        <v/>
      </c>
      <c r="R11" t="str">
        <f>_xlfn.XLOOKUP(Tabla1[[#This Row],[Asignatura 4]],TablaOrigen[Cod. As.],TablaOrigen[Asignatura a procesar?],"")</f>
        <v/>
      </c>
      <c r="S11" t="str">
        <f>_xlfn.XLOOKUP(Tabla1[[#This Row],[Asignatura 5]],TablaOrigen[Cod. As.],TablaOrigen[Asignatura a procesar?],"")</f>
        <v/>
      </c>
      <c r="T11" t="str">
        <f>IF(COUNTIFS(Tabla1[[#This Row],[Aprobada Asignatura 1]:[Aprobada Asignatura 5]],"SI")=Tabla1[[#This Row],[Número asignaturas]],"SI","NO")</f>
        <v>NO</v>
      </c>
    </row>
    <row r="12" spans="2:20" x14ac:dyDescent="0.2">
      <c r="B12" s="44" t="s">
        <v>318</v>
      </c>
      <c r="C12" s="42" t="s">
        <v>306</v>
      </c>
      <c r="D12" s="28">
        <v>27447</v>
      </c>
      <c r="E12" s="28">
        <v>27455</v>
      </c>
      <c r="F12" s="43">
        <v>27453</v>
      </c>
      <c r="G12" s="43">
        <v>27456</v>
      </c>
      <c r="H12" s="43">
        <v>27489</v>
      </c>
      <c r="I12" t="str">
        <f>_xlfn.XLOOKUP(Tabla1[[#This Row],[Asignatura 1]],TablaOrigen[Cod. As.],TablaOrigen[Desc.Asignatura PLAN ACTUAL],"")</f>
        <v>Química</v>
      </c>
      <c r="J12" t="str">
        <f>_xlfn.XLOOKUP(Tabla1[[#This Row],[Asignatura 2]],TablaOrigen[Cod. As.],TablaOrigen[Desc.Asignatura PLAN ACTUAL],"")</f>
        <v>Seguridad Aplicada</v>
      </c>
      <c r="K12" t="str">
        <f>_xlfn.XLOOKUP(Tabla1[[#This Row],[Asignatura 3]],TablaOrigen[Cod. As.],TablaOrigen[Desc.Asignatura PLAN ACTUAL],"")</f>
        <v>Seguridad del Buque y Prevención de la Contaminación</v>
      </c>
      <c r="L12" t="str">
        <f>_xlfn.XLOOKUP(Tabla1[[#This Row],[Asignatura 4]],TablaOrigen[Cod. As.],TablaOrigen[Desc.Asignatura PLAN ACTUAL],"")</f>
        <v>Teoria del Buque</v>
      </c>
      <c r="M12" t="str">
        <f>_xlfn.XLOOKUP(Tabla1[[#This Row],[Asignatura 5]],TablaOrigen[Cod. As.],TablaOrigen[Desc.Asignatura PLAN ACTUAL],"")</f>
        <v>Transportes Especiales</v>
      </c>
      <c r="N12">
        <f>5-COUNTBLANK(Tabla1[[#This Row],[Asignatura 1]:[Asignatura 5]])</f>
        <v>5</v>
      </c>
      <c r="O12" t="str">
        <f>_xlfn.XLOOKUP(Tabla1[[#This Row],[Asignatura 1]],TablaOrigen[Cod. As.],TablaOrigen[Asignatura a procesar?],"")</f>
        <v>NO</v>
      </c>
      <c r="P12" t="str">
        <f>_xlfn.XLOOKUP(Tabla1[[#This Row],[Asignatura 2]],TablaOrigen[Cod. As.],TablaOrigen[Asignatura a procesar?],"")</f>
        <v>NO</v>
      </c>
      <c r="Q12" t="str">
        <f>_xlfn.XLOOKUP(Tabla1[[#This Row],[Asignatura 3]],TablaOrigen[Cod. As.],TablaOrigen[Asignatura a procesar?],"")</f>
        <v>NO</v>
      </c>
      <c r="R12" t="str">
        <f>_xlfn.XLOOKUP(Tabla1[[#This Row],[Asignatura 4]],TablaOrigen[Cod. As.],TablaOrigen[Asignatura a procesar?],"")</f>
        <v>NO</v>
      </c>
      <c r="S12" t="str">
        <f>_xlfn.XLOOKUP(Tabla1[[#This Row],[Asignatura 5]],TablaOrigen[Cod. As.],TablaOrigen[Asignatura a procesar?],"")</f>
        <v>NO</v>
      </c>
      <c r="T12" t="str">
        <f>IF(COUNTIFS(Tabla1[[#This Row],[Aprobada Asignatura 1]:[Aprobada Asignatura 5]],"SI")=Tabla1[[#This Row],[Número asignaturas]],"SI","NO")</f>
        <v>NO</v>
      </c>
    </row>
    <row r="13" spans="2:20" x14ac:dyDescent="0.2">
      <c r="B13" s="44" t="s">
        <v>319</v>
      </c>
      <c r="C13" s="42" t="s">
        <v>307</v>
      </c>
      <c r="D13" s="28">
        <v>27447</v>
      </c>
      <c r="E13" s="28">
        <v>27455</v>
      </c>
      <c r="F13" s="43">
        <v>27453</v>
      </c>
      <c r="G13" s="43">
        <v>27456</v>
      </c>
      <c r="H13" s="43">
        <v>27489</v>
      </c>
      <c r="I13" t="str">
        <f>_xlfn.XLOOKUP(Tabla1[[#This Row],[Asignatura 1]],TablaOrigen[Cod. As.],TablaOrigen[Desc.Asignatura PLAN ACTUAL],"")</f>
        <v>Química</v>
      </c>
      <c r="J13" t="str">
        <f>_xlfn.XLOOKUP(Tabla1[[#This Row],[Asignatura 2]],TablaOrigen[Cod. As.],TablaOrigen[Desc.Asignatura PLAN ACTUAL],"")</f>
        <v>Seguridad Aplicada</v>
      </c>
      <c r="K13" t="str">
        <f>_xlfn.XLOOKUP(Tabla1[[#This Row],[Asignatura 3]],TablaOrigen[Cod. As.],TablaOrigen[Desc.Asignatura PLAN ACTUAL],"")</f>
        <v>Seguridad del Buque y Prevención de la Contaminación</v>
      </c>
      <c r="L13" t="str">
        <f>_xlfn.XLOOKUP(Tabla1[[#This Row],[Asignatura 4]],TablaOrigen[Cod. As.],TablaOrigen[Desc.Asignatura PLAN ACTUAL],"")</f>
        <v>Teoria del Buque</v>
      </c>
      <c r="M13" t="str">
        <f>_xlfn.XLOOKUP(Tabla1[[#This Row],[Asignatura 5]],TablaOrigen[Cod. As.],TablaOrigen[Desc.Asignatura PLAN ACTUAL],"")</f>
        <v>Transportes Especiales</v>
      </c>
      <c r="N13">
        <f>5-COUNTBLANK(Tabla1[[#This Row],[Asignatura 1]:[Asignatura 5]])</f>
        <v>5</v>
      </c>
      <c r="O13" t="str">
        <f>_xlfn.XLOOKUP(Tabla1[[#This Row],[Asignatura 1]],TablaOrigen[Cod. As.],TablaOrigen[Asignatura a procesar?],"")</f>
        <v>NO</v>
      </c>
      <c r="P13" t="str">
        <f>_xlfn.XLOOKUP(Tabla1[[#This Row],[Asignatura 2]],TablaOrigen[Cod. As.],TablaOrigen[Asignatura a procesar?],"")</f>
        <v>NO</v>
      </c>
      <c r="Q13" t="str">
        <f>_xlfn.XLOOKUP(Tabla1[[#This Row],[Asignatura 3]],TablaOrigen[Cod. As.],TablaOrigen[Asignatura a procesar?],"")</f>
        <v>NO</v>
      </c>
      <c r="R13" t="str">
        <f>_xlfn.XLOOKUP(Tabla1[[#This Row],[Asignatura 4]],TablaOrigen[Cod. As.],TablaOrigen[Asignatura a procesar?],"")</f>
        <v>NO</v>
      </c>
      <c r="S13" t="str">
        <f>_xlfn.XLOOKUP(Tabla1[[#This Row],[Asignatura 5]],TablaOrigen[Cod. As.],TablaOrigen[Asignatura a procesar?],"")</f>
        <v>NO</v>
      </c>
      <c r="T13" t="str">
        <f>IF(COUNTIFS(Tabla1[[#This Row],[Aprobada Asignatura 1]:[Aprobada Asignatura 5]],"SI")=Tabla1[[#This Row],[Número asignaturas]],"SI","NO")</f>
        <v>NO</v>
      </c>
    </row>
    <row r="14" spans="2:20" x14ac:dyDescent="0.2">
      <c r="B14" s="44" t="s">
        <v>320</v>
      </c>
      <c r="C14" s="42" t="s">
        <v>308</v>
      </c>
      <c r="D14" s="28">
        <v>27447</v>
      </c>
      <c r="E14" s="28">
        <v>27455</v>
      </c>
      <c r="F14" s="43">
        <v>27453</v>
      </c>
      <c r="G14" s="28">
        <v>27457</v>
      </c>
      <c r="H14" s="43">
        <v>27489</v>
      </c>
      <c r="I14" t="str">
        <f>_xlfn.XLOOKUP(Tabla1[[#This Row],[Asignatura 1]],TablaOrigen[Cod. As.],TablaOrigen[Desc.Asignatura PLAN ACTUAL],"")</f>
        <v>Química</v>
      </c>
      <c r="J14" t="str">
        <f>_xlfn.XLOOKUP(Tabla1[[#This Row],[Asignatura 2]],TablaOrigen[Cod. As.],TablaOrigen[Desc.Asignatura PLAN ACTUAL],"")</f>
        <v>Seguridad Aplicada</v>
      </c>
      <c r="K14" t="str">
        <f>_xlfn.XLOOKUP(Tabla1[[#This Row],[Asignatura 3]],TablaOrigen[Cod. As.],TablaOrigen[Desc.Asignatura PLAN ACTUAL],"")</f>
        <v>Seguridad del Buque y Prevención de la Contaminación</v>
      </c>
      <c r="L14" t="str">
        <f>_xlfn.XLOOKUP(Tabla1[[#This Row],[Asignatura 4]],TablaOrigen[Cod. As.],TablaOrigen[Desc.Asignatura PLAN ACTUAL],"")</f>
        <v>Sistemas Principales y Auxiliares</v>
      </c>
      <c r="M14" t="str">
        <f>_xlfn.XLOOKUP(Tabla1[[#This Row],[Asignatura 5]],TablaOrigen[Cod. As.],TablaOrigen[Desc.Asignatura PLAN ACTUAL],"")</f>
        <v>Transportes Especiales</v>
      </c>
      <c r="N14">
        <f>5-COUNTBLANK(Tabla1[[#This Row],[Asignatura 1]:[Asignatura 5]])</f>
        <v>5</v>
      </c>
      <c r="O14" t="str">
        <f>_xlfn.XLOOKUP(Tabla1[[#This Row],[Asignatura 1]],TablaOrigen[Cod. As.],TablaOrigen[Asignatura a procesar?],"")</f>
        <v>NO</v>
      </c>
      <c r="P14" t="str">
        <f>_xlfn.XLOOKUP(Tabla1[[#This Row],[Asignatura 2]],TablaOrigen[Cod. As.],TablaOrigen[Asignatura a procesar?],"")</f>
        <v>NO</v>
      </c>
      <c r="Q14" t="str">
        <f>_xlfn.XLOOKUP(Tabla1[[#This Row],[Asignatura 3]],TablaOrigen[Cod. As.],TablaOrigen[Asignatura a procesar?],"")</f>
        <v>NO</v>
      </c>
      <c r="R14" t="str">
        <f>_xlfn.XLOOKUP(Tabla1[[#This Row],[Asignatura 4]],TablaOrigen[Cod. As.],TablaOrigen[Asignatura a procesar?],"")</f>
        <v>NO</v>
      </c>
      <c r="S14" t="str">
        <f>_xlfn.XLOOKUP(Tabla1[[#This Row],[Asignatura 5]],TablaOrigen[Cod. As.],TablaOrigen[Asignatura a procesar?],"")</f>
        <v>NO</v>
      </c>
      <c r="T14" t="str">
        <f>IF(COUNTIFS(Tabla1[[#This Row],[Aprobada Asignatura 1]:[Aprobada Asignatura 5]],"SI")=Tabla1[[#This Row],[Número asignaturas]],"SI","NO")</f>
        <v>NO</v>
      </c>
    </row>
    <row r="15" spans="2:20" x14ac:dyDescent="0.2">
      <c r="B15" s="44" t="s">
        <v>321</v>
      </c>
      <c r="C15" s="42" t="s">
        <v>309</v>
      </c>
      <c r="D15" s="28">
        <v>27447</v>
      </c>
      <c r="E15" s="28">
        <v>27455</v>
      </c>
      <c r="F15" s="43">
        <v>27453</v>
      </c>
      <c r="G15" s="28">
        <v>27457</v>
      </c>
      <c r="H15" s="43">
        <v>27489</v>
      </c>
      <c r="I15" t="str">
        <f>_xlfn.XLOOKUP(Tabla1[[#This Row],[Asignatura 1]],TablaOrigen[Cod. As.],TablaOrigen[Desc.Asignatura PLAN ACTUAL],"")</f>
        <v>Química</v>
      </c>
      <c r="J15" t="str">
        <f>_xlfn.XLOOKUP(Tabla1[[#This Row],[Asignatura 2]],TablaOrigen[Cod. As.],TablaOrigen[Desc.Asignatura PLAN ACTUAL],"")</f>
        <v>Seguridad Aplicada</v>
      </c>
      <c r="K15" t="str">
        <f>_xlfn.XLOOKUP(Tabla1[[#This Row],[Asignatura 3]],TablaOrigen[Cod. As.],TablaOrigen[Desc.Asignatura PLAN ACTUAL],"")</f>
        <v>Seguridad del Buque y Prevención de la Contaminación</v>
      </c>
      <c r="L15" t="str">
        <f>_xlfn.XLOOKUP(Tabla1[[#This Row],[Asignatura 4]],TablaOrigen[Cod. As.],TablaOrigen[Desc.Asignatura PLAN ACTUAL],"")</f>
        <v>Sistemas Principales y Auxiliares</v>
      </c>
      <c r="M15" t="str">
        <f>_xlfn.XLOOKUP(Tabla1[[#This Row],[Asignatura 5]],TablaOrigen[Cod. As.],TablaOrigen[Desc.Asignatura PLAN ACTUAL],"")</f>
        <v>Transportes Especiales</v>
      </c>
      <c r="N15">
        <f>5-COUNTBLANK(Tabla1[[#This Row],[Asignatura 1]:[Asignatura 5]])</f>
        <v>5</v>
      </c>
      <c r="O15" t="str">
        <f>_xlfn.XLOOKUP(Tabla1[[#This Row],[Asignatura 1]],TablaOrigen[Cod. As.],TablaOrigen[Asignatura a procesar?],"")</f>
        <v>NO</v>
      </c>
      <c r="P15" t="str">
        <f>_xlfn.XLOOKUP(Tabla1[[#This Row],[Asignatura 2]],TablaOrigen[Cod. As.],TablaOrigen[Asignatura a procesar?],"")</f>
        <v>NO</v>
      </c>
      <c r="Q15" t="str">
        <f>_xlfn.XLOOKUP(Tabla1[[#This Row],[Asignatura 3]],TablaOrigen[Cod. As.],TablaOrigen[Asignatura a procesar?],"")</f>
        <v>NO</v>
      </c>
      <c r="R15" t="str">
        <f>_xlfn.XLOOKUP(Tabla1[[#This Row],[Asignatura 4]],TablaOrigen[Cod. As.],TablaOrigen[Asignatura a procesar?],"")</f>
        <v>NO</v>
      </c>
      <c r="S15" t="str">
        <f>_xlfn.XLOOKUP(Tabla1[[#This Row],[Asignatura 5]],TablaOrigen[Cod. As.],TablaOrigen[Asignatura a procesar?],"")</f>
        <v>NO</v>
      </c>
      <c r="T15" t="str">
        <f>IF(COUNTIFS(Tabla1[[#This Row],[Aprobada Asignatura 1]:[Aprobada Asignatura 5]],"SI")=Tabla1[[#This Row],[Número asignaturas]],"SI","NO")</f>
        <v>NO</v>
      </c>
    </row>
    <row r="16" spans="2:20" x14ac:dyDescent="0.2">
      <c r="B16" s="44" t="s">
        <v>322</v>
      </c>
      <c r="C16" s="42" t="s">
        <v>310</v>
      </c>
      <c r="D16" s="28">
        <v>27447</v>
      </c>
      <c r="E16" s="28">
        <v>27455</v>
      </c>
      <c r="F16" s="43">
        <v>27453</v>
      </c>
      <c r="G16" s="28">
        <v>27457</v>
      </c>
      <c r="H16" s="43">
        <v>27489</v>
      </c>
      <c r="I16" t="str">
        <f>_xlfn.XLOOKUP(Tabla1[[#This Row],[Asignatura 1]],TablaOrigen[Cod. As.],TablaOrigen[Desc.Asignatura PLAN ACTUAL],"")</f>
        <v>Química</v>
      </c>
      <c r="J16" t="str">
        <f>_xlfn.XLOOKUP(Tabla1[[#This Row],[Asignatura 2]],TablaOrigen[Cod. As.],TablaOrigen[Desc.Asignatura PLAN ACTUAL],"")</f>
        <v>Seguridad Aplicada</v>
      </c>
      <c r="K16" t="str">
        <f>_xlfn.XLOOKUP(Tabla1[[#This Row],[Asignatura 3]],TablaOrigen[Cod. As.],TablaOrigen[Desc.Asignatura PLAN ACTUAL],"")</f>
        <v>Seguridad del Buque y Prevención de la Contaminación</v>
      </c>
      <c r="L16" t="str">
        <f>_xlfn.XLOOKUP(Tabla1[[#This Row],[Asignatura 4]],TablaOrigen[Cod. As.],TablaOrigen[Desc.Asignatura PLAN ACTUAL],"")</f>
        <v>Sistemas Principales y Auxiliares</v>
      </c>
      <c r="M16" t="str">
        <f>_xlfn.XLOOKUP(Tabla1[[#This Row],[Asignatura 5]],TablaOrigen[Cod. As.],TablaOrigen[Desc.Asignatura PLAN ACTUAL],"")</f>
        <v>Transportes Especiales</v>
      </c>
      <c r="N16">
        <f>5-COUNTBLANK(Tabla1[[#This Row],[Asignatura 1]:[Asignatura 5]])</f>
        <v>5</v>
      </c>
      <c r="O16" t="str">
        <f>_xlfn.XLOOKUP(Tabla1[[#This Row],[Asignatura 1]],TablaOrigen[Cod. As.],TablaOrigen[Asignatura a procesar?],"")</f>
        <v>NO</v>
      </c>
      <c r="P16" t="str">
        <f>_xlfn.XLOOKUP(Tabla1[[#This Row],[Asignatura 2]],TablaOrigen[Cod. As.],TablaOrigen[Asignatura a procesar?],"")</f>
        <v>NO</v>
      </c>
      <c r="Q16" t="str">
        <f>_xlfn.XLOOKUP(Tabla1[[#This Row],[Asignatura 3]],TablaOrigen[Cod. As.],TablaOrigen[Asignatura a procesar?],"")</f>
        <v>NO</v>
      </c>
      <c r="R16" t="str">
        <f>_xlfn.XLOOKUP(Tabla1[[#This Row],[Asignatura 4]],TablaOrigen[Cod. As.],TablaOrigen[Asignatura a procesar?],"")</f>
        <v>NO</v>
      </c>
      <c r="S16" t="str">
        <f>_xlfn.XLOOKUP(Tabla1[[#This Row],[Asignatura 5]],TablaOrigen[Cod. As.],TablaOrigen[Asignatura a procesar?],"")</f>
        <v>NO</v>
      </c>
      <c r="T16" t="str">
        <f>IF(COUNTIFS(Tabla1[[#This Row],[Aprobada Asignatura 1]:[Aprobada Asignatura 5]],"SI")=Tabla1[[#This Row],[Número asignaturas]],"SI","NO")</f>
        <v>NO</v>
      </c>
    </row>
    <row r="17" spans="2:20" x14ac:dyDescent="0.2">
      <c r="B17" s="44" t="s">
        <v>323</v>
      </c>
      <c r="C17" s="42" t="s">
        <v>311</v>
      </c>
      <c r="D17" s="28">
        <v>27455</v>
      </c>
      <c r="E17" s="43">
        <v>27453</v>
      </c>
      <c r="I17" t="str">
        <f>_xlfn.XLOOKUP(Tabla1[[#This Row],[Asignatura 1]],TablaOrigen[Cod. As.],TablaOrigen[Desc.Asignatura PLAN ACTUAL],"")</f>
        <v>Seguridad Aplicada</v>
      </c>
      <c r="J17" t="str">
        <f>_xlfn.XLOOKUP(Tabla1[[#This Row],[Asignatura 2]],TablaOrigen[Cod. As.],TablaOrigen[Desc.Asignatura PLAN ACTUAL],"")</f>
        <v>Seguridad del Buque y Prevención de la Contaminación</v>
      </c>
      <c r="K17" t="str">
        <f>_xlfn.XLOOKUP(Tabla1[[#This Row],[Asignatura 3]],TablaOrigen[Cod. As.],TablaOrigen[Desc.Asignatura PLAN ACTUAL],"")</f>
        <v/>
      </c>
      <c r="L17" t="str">
        <f>_xlfn.XLOOKUP(Tabla1[[#This Row],[Asignatura 4]],TablaOrigen[Cod. As.],TablaOrigen[Desc.Asignatura PLAN ACTUAL],"")</f>
        <v/>
      </c>
      <c r="M17" t="str">
        <f>_xlfn.XLOOKUP(Tabla1[[#This Row],[Asignatura 5]],TablaOrigen[Cod. As.],TablaOrigen[Desc.Asignatura PLAN ACTUAL],"")</f>
        <v/>
      </c>
      <c r="N17">
        <f>5-COUNTBLANK(Tabla1[[#This Row],[Asignatura 1]:[Asignatura 5]])</f>
        <v>2</v>
      </c>
      <c r="O17" t="str">
        <f>_xlfn.XLOOKUP(Tabla1[[#This Row],[Asignatura 1]],TablaOrigen[Cod. As.],TablaOrigen[Asignatura a procesar?],"")</f>
        <v>NO</v>
      </c>
      <c r="P17" t="str">
        <f>_xlfn.XLOOKUP(Tabla1[[#This Row],[Asignatura 2]],TablaOrigen[Cod. As.],TablaOrigen[Asignatura a procesar?],"")</f>
        <v>NO</v>
      </c>
      <c r="Q17" t="str">
        <f>_xlfn.XLOOKUP(Tabla1[[#This Row],[Asignatura 3]],TablaOrigen[Cod. As.],TablaOrigen[Asignatura a procesar?],"")</f>
        <v/>
      </c>
      <c r="R17" t="str">
        <f>_xlfn.XLOOKUP(Tabla1[[#This Row],[Asignatura 4]],TablaOrigen[Cod. As.],TablaOrigen[Asignatura a procesar?],"")</f>
        <v/>
      </c>
      <c r="S17" t="str">
        <f>_xlfn.XLOOKUP(Tabla1[[#This Row],[Asignatura 5]],TablaOrigen[Cod. As.],TablaOrigen[Asignatura a procesar?],"")</f>
        <v/>
      </c>
      <c r="T17" t="str">
        <f>IF(COUNTIFS(Tabla1[[#This Row],[Aprobada Asignatura 1]:[Aprobada Asignatura 5]],"SI")=Tabla1[[#This Row],[Número asignaturas]],"SI","NO")</f>
        <v>NO</v>
      </c>
    </row>
    <row r="18" spans="2:20" x14ac:dyDescent="0.2">
      <c r="B18" s="44" t="s">
        <v>324</v>
      </c>
      <c r="C18" s="42" t="s">
        <v>312</v>
      </c>
      <c r="D18" s="43">
        <v>27489</v>
      </c>
      <c r="I18" t="str">
        <f>_xlfn.XLOOKUP(Tabla1[[#This Row],[Asignatura 1]],TablaOrigen[Cod. As.],TablaOrigen[Desc.Asignatura PLAN ACTUAL],"")</f>
        <v>Transportes Especiales</v>
      </c>
      <c r="J18" t="str">
        <f>_xlfn.XLOOKUP(Tabla1[[#This Row],[Asignatura 2]],TablaOrigen[Cod. As.],TablaOrigen[Desc.Asignatura PLAN ACTUAL],"")</f>
        <v/>
      </c>
      <c r="K18" t="str">
        <f>_xlfn.XLOOKUP(Tabla1[[#This Row],[Asignatura 3]],TablaOrigen[Cod. As.],TablaOrigen[Desc.Asignatura PLAN ACTUAL],"")</f>
        <v/>
      </c>
      <c r="L18" t="str">
        <f>_xlfn.XLOOKUP(Tabla1[[#This Row],[Asignatura 4]],TablaOrigen[Cod. As.],TablaOrigen[Desc.Asignatura PLAN ACTUAL],"")</f>
        <v/>
      </c>
      <c r="M18" t="str">
        <f>_xlfn.XLOOKUP(Tabla1[[#This Row],[Asignatura 5]],TablaOrigen[Cod. As.],TablaOrigen[Desc.Asignatura PLAN ACTUAL],"")</f>
        <v/>
      </c>
      <c r="N18">
        <f>5-COUNTBLANK(Tabla1[[#This Row],[Asignatura 1]:[Asignatura 5]])</f>
        <v>1</v>
      </c>
      <c r="O18" t="str">
        <f>_xlfn.XLOOKUP(Tabla1[[#This Row],[Asignatura 1]],TablaOrigen[Cod. As.],TablaOrigen[Asignatura a procesar?],"")</f>
        <v>NO</v>
      </c>
      <c r="P18" t="str">
        <f>_xlfn.XLOOKUP(Tabla1[[#This Row],[Asignatura 2]],TablaOrigen[Cod. As.],TablaOrigen[Asignatura a procesar?],"")</f>
        <v/>
      </c>
      <c r="Q18" t="str">
        <f>_xlfn.XLOOKUP(Tabla1[[#This Row],[Asignatura 3]],TablaOrigen[Cod. As.],TablaOrigen[Asignatura a procesar?],"")</f>
        <v/>
      </c>
      <c r="R18" t="str">
        <f>_xlfn.XLOOKUP(Tabla1[[#This Row],[Asignatura 4]],TablaOrigen[Cod. As.],TablaOrigen[Asignatura a procesar?],"")</f>
        <v/>
      </c>
      <c r="S18" t="str">
        <f>_xlfn.XLOOKUP(Tabla1[[#This Row],[Asignatura 5]],TablaOrigen[Cod. As.],TablaOrigen[Asignatura a procesar?],"")</f>
        <v/>
      </c>
      <c r="T18" t="str">
        <f>IF(COUNTIFS(Tabla1[[#This Row],[Aprobada Asignatura 1]:[Aprobada Asignatura 5]],"SI")=Tabla1[[#This Row],[Número asignaturas]],"SI","NO")</f>
        <v>NO</v>
      </c>
    </row>
    <row r="20" spans="2:20" x14ac:dyDescent="0.2">
      <c r="D20" s="28" t="s">
        <v>167</v>
      </c>
      <c r="E20" s="43" t="s">
        <v>168</v>
      </c>
      <c r="F20" s="47" t="s">
        <v>172</v>
      </c>
      <c r="G20" s="43" t="s">
        <v>202</v>
      </c>
      <c r="H20" s="28" t="s">
        <v>217</v>
      </c>
      <c r="I20" s="43" t="s">
        <v>185</v>
      </c>
    </row>
    <row r="21" spans="2:20" x14ac:dyDescent="0.2">
      <c r="D21" s="45" t="s">
        <v>8</v>
      </c>
      <c r="E21" s="46" t="s">
        <v>6</v>
      </c>
      <c r="F21" s="45" t="s">
        <v>3</v>
      </c>
      <c r="G21" s="46" t="s">
        <v>201</v>
      </c>
      <c r="H21" s="45" t="s">
        <v>216</v>
      </c>
      <c r="I21" s="46" t="s">
        <v>184</v>
      </c>
    </row>
    <row r="22" spans="2:20" x14ac:dyDescent="0.2">
      <c r="B22" s="103" t="s">
        <v>344</v>
      </c>
      <c r="C22" s="103"/>
    </row>
    <row r="23" spans="2:20" x14ac:dyDescent="0.2">
      <c r="B23" s="44" t="s">
        <v>314</v>
      </c>
      <c r="C23" s="1" t="s">
        <v>313</v>
      </c>
      <c r="D23" t="s">
        <v>325</v>
      </c>
      <c r="E23" t="s">
        <v>326</v>
      </c>
      <c r="F23" t="s">
        <v>327</v>
      </c>
      <c r="G23" t="s">
        <v>328</v>
      </c>
      <c r="H23" t="s">
        <v>329</v>
      </c>
      <c r="I23" t="s">
        <v>330</v>
      </c>
      <c r="J23" t="s">
        <v>331</v>
      </c>
      <c r="K23" t="s">
        <v>332</v>
      </c>
      <c r="L23" t="s">
        <v>333</v>
      </c>
      <c r="M23" t="s">
        <v>334</v>
      </c>
      <c r="N23" t="s">
        <v>341</v>
      </c>
      <c r="O23" t="s">
        <v>335</v>
      </c>
      <c r="P23" t="s">
        <v>336</v>
      </c>
      <c r="Q23" t="s">
        <v>337</v>
      </c>
      <c r="R23" t="s">
        <v>338</v>
      </c>
      <c r="S23" t="s">
        <v>339</v>
      </c>
      <c r="T23" t="s">
        <v>340</v>
      </c>
    </row>
    <row r="24" spans="2:20" x14ac:dyDescent="0.2">
      <c r="B24" s="44" t="s">
        <v>315</v>
      </c>
      <c r="C24" s="48" t="s">
        <v>303</v>
      </c>
      <c r="D24" s="45" t="s">
        <v>3</v>
      </c>
      <c r="E24" s="1"/>
      <c r="F24" s="1"/>
      <c r="G24" s="1"/>
      <c r="H24" s="1"/>
      <c r="I24" t="str">
        <f>_xlfn.XLOOKUP(Tabla15[[#This Row],[Asignatura 1]],TablaDestino[ID Asig],TablaDestino[Asignatura],"")</f>
        <v>Medicina Marítima</v>
      </c>
      <c r="J24" t="str">
        <f>_xlfn.XLOOKUP(Tabla15[[#This Row],[Asignatura 2]],TablaDestino[ID Asig],TablaDestino[Asignatura],"")</f>
        <v/>
      </c>
      <c r="K24" t="str">
        <f>_xlfn.XLOOKUP(Tabla15[[#This Row],[Asignatura 3]],TablaDestino[ID Asig],TablaDestino[Asignatura],"")</f>
        <v/>
      </c>
      <c r="L24" t="str">
        <f>_xlfn.XLOOKUP(Tabla15[[#This Row],[Asignatura 4]],TablaDestino[ID Asig],TablaDestino[Asignatura],"")</f>
        <v/>
      </c>
      <c r="M24" t="str">
        <f>_xlfn.XLOOKUP(Tabla15[[#This Row],[Asignatura 5]],TablaDestino[ID Asig],TablaDestino[Asignatura],"")</f>
        <v/>
      </c>
      <c r="N24" s="1">
        <f>5-COUNTBLANK(Tabla15[[#This Row],[Asignatura 1]:[Asignatura 5]])</f>
        <v>1</v>
      </c>
      <c r="O24" t="str">
        <f>_xlfn.XLOOKUP(Tabla15[[#This Row],[Asignatura 1]],TablaDestino[ID Asig],TablaDestino[Adaptada],"")</f>
        <v>NO</v>
      </c>
      <c r="P24" t="str">
        <f>_xlfn.XLOOKUP(Tabla15[[#This Row],[Asignatura 2]],TablaDestino[ID Asig],TablaDestino[Adaptada],"")</f>
        <v/>
      </c>
      <c r="Q24" t="str">
        <f>_xlfn.XLOOKUP(Tabla15[[#This Row],[Asignatura 3]],TablaDestino[ID Asig],TablaDestino[Adaptada],"")</f>
        <v/>
      </c>
      <c r="R24" t="str">
        <f>_xlfn.XLOOKUP(Tabla15[[#This Row],[Asignatura 4]],TablaDestino[ID Asig],TablaDestino[Adaptada],"")</f>
        <v/>
      </c>
      <c r="S24" t="str">
        <f>_xlfn.XLOOKUP(Tabla15[[#This Row],[Asignatura 5]],TablaDestino[ID Asig],TablaDestino[Adaptada],"")</f>
        <v/>
      </c>
      <c r="T24" t="str">
        <f>IF(COUNTIFS(Tabla15[[#This Row],[Aprobada Asignatura 1]:[Aprobada Asignatura 5]],"SI")=Tabla15[[#This Row],[Número asignaturas]],"SI","NO")</f>
        <v>NO</v>
      </c>
    </row>
    <row r="25" spans="2:20" x14ac:dyDescent="0.2">
      <c r="B25" s="44" t="s">
        <v>316</v>
      </c>
      <c r="C25" s="48" t="s">
        <v>304</v>
      </c>
      <c r="D25" s="45" t="s">
        <v>3</v>
      </c>
      <c r="E25" s="45" t="s">
        <v>6</v>
      </c>
      <c r="F25" s="1"/>
      <c r="G25" s="1"/>
      <c r="H25" s="1"/>
      <c r="I25" t="str">
        <f>_xlfn.XLOOKUP(Tabla15[[#This Row],[Asignatura 1]],TablaDestino[ID Asig],TablaDestino[Asignatura],"")</f>
        <v>Medicina Marítima</v>
      </c>
      <c r="J25" t="str">
        <f>_xlfn.XLOOKUP(Tabla15[[#This Row],[Asignatura 2]],TablaDestino[ID Asig],TablaDestino[Asignatura],"")</f>
        <v xml:space="preserve">Seguridad del Buque y Prevención de la Contaminación </v>
      </c>
      <c r="K25" t="str">
        <f>_xlfn.XLOOKUP(Tabla15[[#This Row],[Asignatura 3]],TablaDestino[ID Asig],TablaDestino[Asignatura],"")</f>
        <v/>
      </c>
      <c r="L25" t="str">
        <f>_xlfn.XLOOKUP(Tabla15[[#This Row],[Asignatura 4]],TablaDestino[ID Asig],TablaDestino[Asignatura],"")</f>
        <v/>
      </c>
      <c r="M25" t="str">
        <f>_xlfn.XLOOKUP(Tabla15[[#This Row],[Asignatura 5]],TablaDestino[ID Asig],TablaDestino[Asignatura],"")</f>
        <v/>
      </c>
      <c r="N25" s="1">
        <f>5-COUNTBLANK(Tabla15[[#This Row],[Asignatura 1]:[Asignatura 5]])</f>
        <v>2</v>
      </c>
      <c r="O25" t="str">
        <f>_xlfn.XLOOKUP(Tabla15[[#This Row],[Asignatura 1]],TablaDestino[ID Asig],TablaDestino[Adaptada],"")</f>
        <v>NO</v>
      </c>
      <c r="P25" t="str">
        <f>_xlfn.XLOOKUP(Tabla15[[#This Row],[Asignatura 2]],TablaDestino[ID Asig],TablaDestino[Adaptada],"")</f>
        <v>NO</v>
      </c>
      <c r="Q25" t="str">
        <f>_xlfn.XLOOKUP(Tabla15[[#This Row],[Asignatura 3]],TablaDestino[ID Asig],TablaDestino[Adaptada],"")</f>
        <v/>
      </c>
      <c r="R25" t="str">
        <f>_xlfn.XLOOKUP(Tabla15[[#This Row],[Asignatura 4]],TablaDestino[ID Asig],TablaDestino[Adaptada],"")</f>
        <v/>
      </c>
      <c r="S25" t="str">
        <f>_xlfn.XLOOKUP(Tabla15[[#This Row],[Asignatura 5]],TablaDestino[ID Asig],TablaDestino[Adaptada],"")</f>
        <v/>
      </c>
      <c r="T25" t="str">
        <f>IF(COUNTIFS(Tabla15[[#This Row],[Aprobada Asignatura 1]:[Aprobada Asignatura 5]],"SI")=Tabla15[[#This Row],[Número asignaturas]],"SI","NO")</f>
        <v>NO</v>
      </c>
    </row>
    <row r="26" spans="2:20" x14ac:dyDescent="0.2">
      <c r="B26" s="44" t="s">
        <v>317</v>
      </c>
      <c r="C26" s="48" t="s">
        <v>305</v>
      </c>
      <c r="D26" s="45" t="s">
        <v>8</v>
      </c>
      <c r="E26" s="1"/>
      <c r="F26" s="1"/>
      <c r="G26" s="1"/>
      <c r="H26" s="1"/>
      <c r="I26" t="str">
        <f>_xlfn.XLOOKUP(Tabla15[[#This Row],[Asignatura 1]],TablaDestino[ID Asig],TablaDestino[Asignatura],"")</f>
        <v>Supervivencia y Lucha Contra Incendios</v>
      </c>
      <c r="J26" t="str">
        <f>_xlfn.XLOOKUP(Tabla15[[#This Row],[Asignatura 2]],TablaDestino[ID Asig],TablaDestino[Asignatura],"")</f>
        <v/>
      </c>
      <c r="K26" t="str">
        <f>_xlfn.XLOOKUP(Tabla15[[#This Row],[Asignatura 3]],TablaDestino[ID Asig],TablaDestino[Asignatura],"")</f>
        <v/>
      </c>
      <c r="L26" t="str">
        <f>_xlfn.XLOOKUP(Tabla15[[#This Row],[Asignatura 4]],TablaDestino[ID Asig],TablaDestino[Asignatura],"")</f>
        <v/>
      </c>
      <c r="M26" t="str">
        <f>_xlfn.XLOOKUP(Tabla15[[#This Row],[Asignatura 5]],TablaDestino[ID Asig],TablaDestino[Asignatura],"")</f>
        <v/>
      </c>
      <c r="N26" s="1">
        <f>5-COUNTBLANK(Tabla15[[#This Row],[Asignatura 1]:[Asignatura 5]])</f>
        <v>1</v>
      </c>
      <c r="O26" t="str">
        <f>_xlfn.XLOOKUP(Tabla15[[#This Row],[Asignatura 1]],TablaDestino[ID Asig],TablaDestino[Adaptada],"")</f>
        <v>NO</v>
      </c>
      <c r="P26" t="str">
        <f>_xlfn.XLOOKUP(Tabla15[[#This Row],[Asignatura 2]],TablaDestino[ID Asig],TablaDestino[Adaptada],"")</f>
        <v/>
      </c>
      <c r="Q26" t="str">
        <f>_xlfn.XLOOKUP(Tabla15[[#This Row],[Asignatura 3]],TablaDestino[ID Asig],TablaDestino[Adaptada],"")</f>
        <v/>
      </c>
      <c r="R26" t="str">
        <f>_xlfn.XLOOKUP(Tabla15[[#This Row],[Asignatura 4]],TablaDestino[ID Asig],TablaDestino[Adaptada],"")</f>
        <v/>
      </c>
      <c r="S26" t="str">
        <f>_xlfn.XLOOKUP(Tabla15[[#This Row],[Asignatura 5]],TablaDestino[ID Asig],TablaDestino[Adaptada],"")</f>
        <v/>
      </c>
      <c r="T26" t="str">
        <f>IF(COUNTIFS(Tabla15[[#This Row],[Aprobada Asignatura 1]:[Aprobada Asignatura 5]],"SI")=Tabla15[[#This Row],[Número asignaturas]],"SI","NO")</f>
        <v>NO</v>
      </c>
    </row>
    <row r="27" spans="2:20" x14ac:dyDescent="0.2">
      <c r="B27" s="44" t="s">
        <v>318</v>
      </c>
      <c r="C27" s="48" t="s">
        <v>306</v>
      </c>
      <c r="D27" s="45" t="s">
        <v>8</v>
      </c>
      <c r="E27" s="45" t="s">
        <v>6</v>
      </c>
      <c r="F27" s="45" t="s">
        <v>184</v>
      </c>
      <c r="G27" s="28"/>
      <c r="H27" s="28"/>
      <c r="I27" t="str">
        <f>_xlfn.XLOOKUP(Tabla15[[#This Row],[Asignatura 1]],TablaDestino[ID Asig],TablaDestino[Asignatura],"")</f>
        <v>Supervivencia y Lucha Contra Incendios</v>
      </c>
      <c r="J27" t="str">
        <f>_xlfn.XLOOKUP(Tabla15[[#This Row],[Asignatura 2]],TablaDestino[ID Asig],TablaDestino[Asignatura],"")</f>
        <v xml:space="preserve">Seguridad del Buque y Prevención de la Contaminación </v>
      </c>
      <c r="K27" t="str">
        <f>_xlfn.XLOOKUP(Tabla15[[#This Row],[Asignatura 3]],TablaDestino[ID Asig],TablaDestino[Asignatura],"")</f>
        <v>Transportes especiales</v>
      </c>
      <c r="L27" t="str">
        <f>_xlfn.XLOOKUP(Tabla15[[#This Row],[Asignatura 4]],TablaDestino[ID Asig],TablaDestino[Asignatura],"")</f>
        <v/>
      </c>
      <c r="M27" t="str">
        <f>_xlfn.XLOOKUP(Tabla15[[#This Row],[Asignatura 5]],TablaDestino[ID Asig],TablaDestino[Asignatura],"")</f>
        <v/>
      </c>
      <c r="N27" s="1">
        <f>5-COUNTBLANK(Tabla15[[#This Row],[Asignatura 1]:[Asignatura 5]])</f>
        <v>3</v>
      </c>
      <c r="O27" t="str">
        <f>_xlfn.XLOOKUP(Tabla15[[#This Row],[Asignatura 1]],TablaDestino[ID Asig],TablaDestino[Adaptada],"")</f>
        <v>NO</v>
      </c>
      <c r="P27" t="str">
        <f>_xlfn.XLOOKUP(Tabla15[[#This Row],[Asignatura 2]],TablaDestino[ID Asig],TablaDestino[Adaptada],"")</f>
        <v>NO</v>
      </c>
      <c r="Q27" t="str">
        <f>_xlfn.XLOOKUP(Tabla15[[#This Row],[Asignatura 3]],TablaDestino[ID Asig],TablaDestino[Adaptada],"")</f>
        <v>NO</v>
      </c>
      <c r="R27" t="str">
        <f>_xlfn.XLOOKUP(Tabla15[[#This Row],[Asignatura 4]],TablaDestino[ID Asig],TablaDestino[Adaptada],"")</f>
        <v/>
      </c>
      <c r="S27" t="str">
        <f>_xlfn.XLOOKUP(Tabla15[[#This Row],[Asignatura 5]],TablaDestino[ID Asig],TablaDestino[Adaptada],"")</f>
        <v/>
      </c>
      <c r="T27" t="str">
        <f>IF(COUNTIFS(Tabla15[[#This Row],[Aprobada Asignatura 1]:[Aprobada Asignatura 5]],"SI")=Tabla15[[#This Row],[Número asignaturas]],"SI","NO")</f>
        <v>NO</v>
      </c>
    </row>
    <row r="28" spans="2:20" x14ac:dyDescent="0.2">
      <c r="B28" s="44" t="s">
        <v>319</v>
      </c>
      <c r="C28" s="48" t="s">
        <v>307</v>
      </c>
      <c r="D28" s="45" t="s">
        <v>8</v>
      </c>
      <c r="E28" s="45" t="s">
        <v>6</v>
      </c>
      <c r="F28" s="45" t="s">
        <v>184</v>
      </c>
      <c r="G28" s="28"/>
      <c r="H28" s="28"/>
      <c r="I28" t="str">
        <f>_xlfn.XLOOKUP(Tabla15[[#This Row],[Asignatura 1]],TablaDestino[ID Asig],TablaDestino[Asignatura],"")</f>
        <v>Supervivencia y Lucha Contra Incendios</v>
      </c>
      <c r="J28" t="str">
        <f>_xlfn.XLOOKUP(Tabla15[[#This Row],[Asignatura 2]],TablaDestino[ID Asig],TablaDestino[Asignatura],"")</f>
        <v xml:space="preserve">Seguridad del Buque y Prevención de la Contaminación </v>
      </c>
      <c r="K28" t="str">
        <f>_xlfn.XLOOKUP(Tabla15[[#This Row],[Asignatura 3]],TablaDestino[ID Asig],TablaDestino[Asignatura],"")</f>
        <v>Transportes especiales</v>
      </c>
      <c r="L28" t="str">
        <f>_xlfn.XLOOKUP(Tabla15[[#This Row],[Asignatura 4]],TablaDestino[ID Asig],TablaDestino[Asignatura],"")</f>
        <v/>
      </c>
      <c r="M28" t="str">
        <f>_xlfn.XLOOKUP(Tabla15[[#This Row],[Asignatura 5]],TablaDestino[ID Asig],TablaDestino[Asignatura],"")</f>
        <v/>
      </c>
      <c r="N28" s="1">
        <f>5-COUNTBLANK(Tabla15[[#This Row],[Asignatura 1]:[Asignatura 5]])</f>
        <v>3</v>
      </c>
      <c r="O28" t="str">
        <f>_xlfn.XLOOKUP(Tabla15[[#This Row],[Asignatura 1]],TablaDestino[ID Asig],TablaDestino[Adaptada],"")</f>
        <v>NO</v>
      </c>
      <c r="P28" t="str">
        <f>_xlfn.XLOOKUP(Tabla15[[#This Row],[Asignatura 2]],TablaDestino[ID Asig],TablaDestino[Adaptada],"")</f>
        <v>NO</v>
      </c>
      <c r="Q28" t="str">
        <f>_xlfn.XLOOKUP(Tabla15[[#This Row],[Asignatura 3]],TablaDestino[ID Asig],TablaDestino[Adaptada],"")</f>
        <v>NO</v>
      </c>
      <c r="R28" t="str">
        <f>_xlfn.XLOOKUP(Tabla15[[#This Row],[Asignatura 4]],TablaDestino[ID Asig],TablaDestino[Adaptada],"")</f>
        <v/>
      </c>
      <c r="S28" t="str">
        <f>_xlfn.XLOOKUP(Tabla15[[#This Row],[Asignatura 5]],TablaDestino[ID Asig],TablaDestino[Adaptada],"")</f>
        <v/>
      </c>
      <c r="T28" t="str">
        <f>IF(COUNTIFS(Tabla15[[#This Row],[Aprobada Asignatura 1]:[Aprobada Asignatura 5]],"SI")=Tabla15[[#This Row],[Número asignaturas]],"SI","NO")</f>
        <v>NO</v>
      </c>
    </row>
    <row r="29" spans="2:20" x14ac:dyDescent="0.2">
      <c r="B29" s="44" t="s">
        <v>320</v>
      </c>
      <c r="C29" s="48" t="s">
        <v>308</v>
      </c>
      <c r="D29" s="46" t="s">
        <v>201</v>
      </c>
      <c r="E29" s="28"/>
      <c r="F29" s="28"/>
      <c r="G29" s="28"/>
      <c r="H29" s="28"/>
      <c r="I29" t="str">
        <f>_xlfn.XLOOKUP(Tabla15[[#This Row],[Asignatura 1]],TablaDestino[ID Asig],TablaDestino[Asignatura],"")</f>
        <v>Operaciones Avanzadas en Buques Tanque</v>
      </c>
      <c r="J29" t="str">
        <f>_xlfn.XLOOKUP(Tabla15[[#This Row],[Asignatura 2]],TablaDestino[ID Asig],TablaDestino[Asignatura],"")</f>
        <v/>
      </c>
      <c r="K29" t="str">
        <f>_xlfn.XLOOKUP(Tabla15[[#This Row],[Asignatura 3]],TablaDestino[ID Asig],TablaDestino[Asignatura],"")</f>
        <v/>
      </c>
      <c r="L29" t="str">
        <f>_xlfn.XLOOKUP(Tabla15[[#This Row],[Asignatura 4]],TablaDestino[ID Asig],TablaDestino[Asignatura],"")</f>
        <v/>
      </c>
      <c r="M29" t="str">
        <f>_xlfn.XLOOKUP(Tabla15[[#This Row],[Asignatura 5]],TablaDestino[ID Asig],TablaDestino[Asignatura],"")</f>
        <v/>
      </c>
      <c r="N29" s="1">
        <f>5-COUNTBLANK(Tabla15[[#This Row],[Asignatura 1]:[Asignatura 5]])</f>
        <v>1</v>
      </c>
      <c r="O29" t="str">
        <f>_xlfn.XLOOKUP(Tabla15[[#This Row],[Asignatura 1]],TablaDestino[ID Asig],TablaDestino[Adaptada],"")</f>
        <v>NO</v>
      </c>
      <c r="P29" t="str">
        <f>_xlfn.XLOOKUP(Tabla15[[#This Row],[Asignatura 2]],TablaDestino[ID Asig],TablaDestino[Adaptada],"")</f>
        <v/>
      </c>
      <c r="Q29" t="str">
        <f>_xlfn.XLOOKUP(Tabla15[[#This Row],[Asignatura 3]],TablaDestino[ID Asig],TablaDestino[Adaptada],"")</f>
        <v/>
      </c>
      <c r="R29" t="str">
        <f>_xlfn.XLOOKUP(Tabla15[[#This Row],[Asignatura 4]],TablaDestino[ID Asig],TablaDestino[Adaptada],"")</f>
        <v/>
      </c>
      <c r="S29" t="str">
        <f>_xlfn.XLOOKUP(Tabla15[[#This Row],[Asignatura 5]],TablaDestino[ID Asig],TablaDestino[Adaptada],"")</f>
        <v/>
      </c>
      <c r="T29" t="str">
        <f>IF(COUNTIFS(Tabla15[[#This Row],[Aprobada Asignatura 1]:[Aprobada Asignatura 5]],"SI")=Tabla15[[#This Row],[Número asignaturas]],"SI","NO")</f>
        <v>NO</v>
      </c>
    </row>
    <row r="30" spans="2:20" x14ac:dyDescent="0.2">
      <c r="B30" s="44" t="s">
        <v>321</v>
      </c>
      <c r="C30" s="48" t="s">
        <v>309</v>
      </c>
      <c r="D30" s="46" t="s">
        <v>201</v>
      </c>
      <c r="E30" s="28"/>
      <c r="F30" s="28"/>
      <c r="G30" s="28"/>
      <c r="H30" s="28"/>
      <c r="I30" t="str">
        <f>_xlfn.XLOOKUP(Tabla15[[#This Row],[Asignatura 1]],TablaDestino[ID Asig],TablaDestino[Asignatura],"")</f>
        <v>Operaciones Avanzadas en Buques Tanque</v>
      </c>
      <c r="J30" t="str">
        <f>_xlfn.XLOOKUP(Tabla15[[#This Row],[Asignatura 2]],TablaDestino[ID Asig],TablaDestino[Asignatura],"")</f>
        <v/>
      </c>
      <c r="K30" t="str">
        <f>_xlfn.XLOOKUP(Tabla15[[#This Row],[Asignatura 3]],TablaDestino[ID Asig],TablaDestino[Asignatura],"")</f>
        <v/>
      </c>
      <c r="L30" t="str">
        <f>_xlfn.XLOOKUP(Tabla15[[#This Row],[Asignatura 4]],TablaDestino[ID Asig],TablaDestino[Asignatura],"")</f>
        <v/>
      </c>
      <c r="M30" t="str">
        <f>_xlfn.XLOOKUP(Tabla15[[#This Row],[Asignatura 5]],TablaDestino[ID Asig],TablaDestino[Asignatura],"")</f>
        <v/>
      </c>
      <c r="N30" s="1">
        <f>5-COUNTBLANK(Tabla15[[#This Row],[Asignatura 1]:[Asignatura 5]])</f>
        <v>1</v>
      </c>
      <c r="O30" t="str">
        <f>_xlfn.XLOOKUP(Tabla15[[#This Row],[Asignatura 1]],TablaDestino[ID Asig],TablaDestino[Adaptada],"")</f>
        <v>NO</v>
      </c>
      <c r="P30" t="str">
        <f>_xlfn.XLOOKUP(Tabla15[[#This Row],[Asignatura 2]],TablaDestino[ID Asig],TablaDestino[Adaptada],"")</f>
        <v/>
      </c>
      <c r="Q30" t="str">
        <f>_xlfn.XLOOKUP(Tabla15[[#This Row],[Asignatura 3]],TablaDestino[ID Asig],TablaDestino[Adaptada],"")</f>
        <v/>
      </c>
      <c r="R30" t="str">
        <f>_xlfn.XLOOKUP(Tabla15[[#This Row],[Asignatura 4]],TablaDestino[ID Asig],TablaDestino[Adaptada],"")</f>
        <v/>
      </c>
      <c r="S30" t="str">
        <f>_xlfn.XLOOKUP(Tabla15[[#This Row],[Asignatura 5]],TablaDestino[ID Asig],TablaDestino[Adaptada],"")</f>
        <v/>
      </c>
      <c r="T30" t="str">
        <f>IF(COUNTIFS(Tabla15[[#This Row],[Aprobada Asignatura 1]:[Aprobada Asignatura 5]],"SI")=Tabla15[[#This Row],[Número asignaturas]],"SI","NO")</f>
        <v>NO</v>
      </c>
    </row>
    <row r="31" spans="2:20" x14ac:dyDescent="0.2">
      <c r="B31" s="44" t="s">
        <v>322</v>
      </c>
      <c r="C31" s="48" t="s">
        <v>310</v>
      </c>
      <c r="D31" s="46" t="s">
        <v>201</v>
      </c>
      <c r="E31" s="28"/>
      <c r="F31" s="28"/>
      <c r="G31" s="28"/>
      <c r="H31" s="28"/>
      <c r="I31" t="str">
        <f>_xlfn.XLOOKUP(Tabla15[[#This Row],[Asignatura 1]],TablaDestino[ID Asig],TablaDestino[Asignatura],"")</f>
        <v>Operaciones Avanzadas en Buques Tanque</v>
      </c>
      <c r="J31" t="str">
        <f>_xlfn.XLOOKUP(Tabla15[[#This Row],[Asignatura 2]],TablaDestino[ID Asig],TablaDestino[Asignatura],"")</f>
        <v/>
      </c>
      <c r="K31" t="str">
        <f>_xlfn.XLOOKUP(Tabla15[[#This Row],[Asignatura 3]],TablaDestino[ID Asig],TablaDestino[Asignatura],"")</f>
        <v/>
      </c>
      <c r="L31" t="str">
        <f>_xlfn.XLOOKUP(Tabla15[[#This Row],[Asignatura 4]],TablaDestino[ID Asig],TablaDestino[Asignatura],"")</f>
        <v/>
      </c>
      <c r="M31" t="str">
        <f>_xlfn.XLOOKUP(Tabla15[[#This Row],[Asignatura 5]],TablaDestino[ID Asig],TablaDestino[Asignatura],"")</f>
        <v/>
      </c>
      <c r="N31" s="1">
        <f>5-COUNTBLANK(Tabla15[[#This Row],[Asignatura 1]:[Asignatura 5]])</f>
        <v>1</v>
      </c>
      <c r="O31" t="str">
        <f>_xlfn.XLOOKUP(Tabla15[[#This Row],[Asignatura 1]],TablaDestino[ID Asig],TablaDestino[Adaptada],"")</f>
        <v>NO</v>
      </c>
      <c r="P31" t="str">
        <f>_xlfn.XLOOKUP(Tabla15[[#This Row],[Asignatura 2]],TablaDestino[ID Asig],TablaDestino[Adaptada],"")</f>
        <v/>
      </c>
      <c r="Q31" t="str">
        <f>_xlfn.XLOOKUP(Tabla15[[#This Row],[Asignatura 3]],TablaDestino[ID Asig],TablaDestino[Adaptada],"")</f>
        <v/>
      </c>
      <c r="R31" t="str">
        <f>_xlfn.XLOOKUP(Tabla15[[#This Row],[Asignatura 4]],TablaDestino[ID Asig],TablaDestino[Adaptada],"")</f>
        <v/>
      </c>
      <c r="S31" t="str">
        <f>_xlfn.XLOOKUP(Tabla15[[#This Row],[Asignatura 5]],TablaDestino[ID Asig],TablaDestino[Adaptada],"")</f>
        <v/>
      </c>
      <c r="T31" t="str">
        <f>IF(COUNTIFS(Tabla15[[#This Row],[Aprobada Asignatura 1]:[Aprobada Asignatura 5]],"SI")=Tabla15[[#This Row],[Número asignaturas]],"SI","NO")</f>
        <v>NO</v>
      </c>
    </row>
    <row r="32" spans="2:20" x14ac:dyDescent="0.2">
      <c r="B32" s="44" t="s">
        <v>323</v>
      </c>
      <c r="C32" s="48" t="s">
        <v>311</v>
      </c>
      <c r="D32" s="45" t="s">
        <v>216</v>
      </c>
      <c r="E32" s="45"/>
      <c r="F32" s="1"/>
      <c r="G32" s="1"/>
      <c r="H32" s="1"/>
      <c r="I32" t="str">
        <f>_xlfn.XLOOKUP(Tabla15[[#This Row],[Asignatura 1]],TablaDestino[ID Asig],TablaDestino[Asignatura],"")</f>
        <v>Buques de Pasaje y Protección Marítima</v>
      </c>
      <c r="J32" t="str">
        <f>_xlfn.XLOOKUP(Tabla15[[#This Row],[Asignatura 2]],TablaDestino[ID Asig],TablaDestino[Asignatura],"")</f>
        <v/>
      </c>
      <c r="K32" t="str">
        <f>_xlfn.XLOOKUP(Tabla15[[#This Row],[Asignatura 3]],TablaDestino[ID Asig],TablaDestino[Asignatura],"")</f>
        <v/>
      </c>
      <c r="L32" t="str">
        <f>_xlfn.XLOOKUP(Tabla15[[#This Row],[Asignatura 4]],TablaDestino[ID Asig],TablaDestino[Asignatura],"")</f>
        <v/>
      </c>
      <c r="M32" t="str">
        <f>_xlfn.XLOOKUP(Tabla15[[#This Row],[Asignatura 5]],TablaDestino[ID Asig],TablaDestino[Asignatura],"")</f>
        <v/>
      </c>
      <c r="N32" s="1">
        <f>5-COUNTBLANK(Tabla15[[#This Row],[Asignatura 1]:[Asignatura 5]])</f>
        <v>1</v>
      </c>
      <c r="O32" t="str">
        <f>_xlfn.XLOOKUP(Tabla15[[#This Row],[Asignatura 1]],TablaDestino[ID Asig],TablaDestino[Adaptada],"")</f>
        <v>NO</v>
      </c>
      <c r="P32" t="str">
        <f>_xlfn.XLOOKUP(Tabla15[[#This Row],[Asignatura 2]],TablaDestino[ID Asig],TablaDestino[Adaptada],"")</f>
        <v/>
      </c>
      <c r="Q32" t="str">
        <f>_xlfn.XLOOKUP(Tabla15[[#This Row],[Asignatura 3]],TablaDestino[ID Asig],TablaDestino[Adaptada],"")</f>
        <v/>
      </c>
      <c r="R32" t="str">
        <f>_xlfn.XLOOKUP(Tabla15[[#This Row],[Asignatura 4]],TablaDestino[ID Asig],TablaDestino[Adaptada],"")</f>
        <v/>
      </c>
      <c r="S32" t="str">
        <f>_xlfn.XLOOKUP(Tabla15[[#This Row],[Asignatura 5]],TablaDestino[ID Asig],TablaDestino[Adaptada],"")</f>
        <v/>
      </c>
      <c r="T32" t="str">
        <f>IF(COUNTIFS(Tabla15[[#This Row],[Aprobada Asignatura 1]:[Aprobada Asignatura 5]],"SI")=Tabla15[[#This Row],[Número asignaturas]],"SI","NO")</f>
        <v>NO</v>
      </c>
    </row>
    <row r="33" spans="2:20" x14ac:dyDescent="0.2">
      <c r="B33" s="44" t="s">
        <v>324</v>
      </c>
      <c r="C33" s="48" t="s">
        <v>312</v>
      </c>
      <c r="D33" s="45" t="s">
        <v>8</v>
      </c>
      <c r="E33" s="1"/>
      <c r="F33" s="1"/>
      <c r="G33" s="1"/>
      <c r="H33" s="1"/>
      <c r="I33" t="str">
        <f>_xlfn.XLOOKUP(Tabla15[[#This Row],[Asignatura 1]],TablaDestino[ID Asig],TablaDestino[Asignatura],"")</f>
        <v>Supervivencia y Lucha Contra Incendios</v>
      </c>
      <c r="J33" t="str">
        <f>_xlfn.XLOOKUP(Tabla15[[#This Row],[Asignatura 2]],TablaDestino[ID Asig],TablaDestino[Asignatura],"")</f>
        <v/>
      </c>
      <c r="K33" t="str">
        <f>_xlfn.XLOOKUP(Tabla15[[#This Row],[Asignatura 3]],TablaDestino[ID Asig],TablaDestino[Asignatura],"")</f>
        <v/>
      </c>
      <c r="L33" t="str">
        <f>_xlfn.XLOOKUP(Tabla15[[#This Row],[Asignatura 4]],TablaDestino[ID Asig],TablaDestino[Asignatura],"")</f>
        <v/>
      </c>
      <c r="M33" t="str">
        <f>_xlfn.XLOOKUP(Tabla15[[#This Row],[Asignatura 5]],TablaDestino[ID Asig],TablaDestino[Asignatura],"")</f>
        <v/>
      </c>
      <c r="N33" s="1">
        <f>5-COUNTBLANK(Tabla15[[#This Row],[Asignatura 1]:[Asignatura 5]])</f>
        <v>1</v>
      </c>
      <c r="O33" t="str">
        <f>_xlfn.XLOOKUP(Tabla15[[#This Row],[Asignatura 1]],TablaDestino[ID Asig],TablaDestino[Adaptada],"")</f>
        <v>NO</v>
      </c>
      <c r="P33" t="str">
        <f>_xlfn.XLOOKUP(Tabla15[[#This Row],[Asignatura 2]],TablaDestino[ID Asig],TablaDestino[Adaptada],"")</f>
        <v/>
      </c>
      <c r="Q33" t="str">
        <f>_xlfn.XLOOKUP(Tabla15[[#This Row],[Asignatura 3]],TablaDestino[ID Asig],TablaDestino[Adaptada],"")</f>
        <v/>
      </c>
      <c r="R33" t="str">
        <f>_xlfn.XLOOKUP(Tabla15[[#This Row],[Asignatura 4]],TablaDestino[ID Asig],TablaDestino[Adaptada],"")</f>
        <v/>
      </c>
      <c r="S33" t="str">
        <f>_xlfn.XLOOKUP(Tabla15[[#This Row],[Asignatura 5]],TablaDestino[ID Asig],TablaDestino[Adaptada],"")</f>
        <v/>
      </c>
      <c r="T33" t="str">
        <f>IF(COUNTIFS(Tabla15[[#This Row],[Aprobada Asignatura 1]:[Aprobada Asignatura 5]],"SI")=Tabla15[[#This Row],[Número asignaturas]],"SI","NO")</f>
        <v>NO</v>
      </c>
    </row>
  </sheetData>
  <mergeCells count="2">
    <mergeCell ref="B7:C7"/>
    <mergeCell ref="B22:C22"/>
  </mergeCells>
  <phoneticPr fontId="15" type="noConversion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72FAD-DFEE-DA4B-8D5A-BD5003068E19}">
  <dimension ref="C3:CI50"/>
  <sheetViews>
    <sheetView topLeftCell="A2" zoomScale="94" zoomScaleNormal="94" workbookViewId="0">
      <pane xSplit="11" ySplit="6" topLeftCell="AD14" activePane="bottomRight" state="frozen"/>
      <selection activeCell="D48" sqref="D48"/>
      <selection pane="topRight" activeCell="D48" sqref="D48"/>
      <selection pane="bottomLeft" activeCell="D48" sqref="D48"/>
      <selection pane="bottomRight" activeCell="D48" sqref="D48"/>
    </sheetView>
  </sheetViews>
  <sheetFormatPr baseColWidth="10" defaultRowHeight="16" x14ac:dyDescent="0.2"/>
  <cols>
    <col min="4" max="4" width="19.5" customWidth="1"/>
    <col min="5" max="5" width="11.1640625" customWidth="1"/>
    <col min="7" max="7" width="32.6640625" customWidth="1"/>
    <col min="8" max="8" width="8.5" customWidth="1"/>
    <col min="9" max="9" width="14.6640625" customWidth="1"/>
    <col min="10" max="10" width="7.6640625" customWidth="1"/>
    <col min="11" max="11" width="16.33203125" customWidth="1"/>
    <col min="55" max="70" width="10.83203125" hidden="1" customWidth="1"/>
    <col min="71" max="71" width="21.1640625" customWidth="1"/>
    <col min="72" max="73" width="29.33203125" customWidth="1"/>
    <col min="74" max="74" width="27.5" customWidth="1"/>
    <col min="75" max="78" width="29.1640625" customWidth="1"/>
    <col min="83" max="86" width="13.1640625" customWidth="1"/>
  </cols>
  <sheetData>
    <row r="3" spans="3:87" x14ac:dyDescent="0.2">
      <c r="D3" s="24"/>
    </row>
    <row r="4" spans="3:87" x14ac:dyDescent="0.2">
      <c r="D4" s="24"/>
    </row>
    <row r="5" spans="3:87" x14ac:dyDescent="0.2"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 t="s">
        <v>82</v>
      </c>
      <c r="BP5" s="31" t="s">
        <v>82</v>
      </c>
      <c r="BQ5" s="31"/>
      <c r="BR5" s="31"/>
      <c r="BS5" s="1"/>
      <c r="BT5" s="1"/>
      <c r="BU5" s="1"/>
      <c r="BV5" s="1"/>
    </row>
    <row r="6" spans="3:87" s="19" customFormat="1" ht="79" customHeight="1" x14ac:dyDescent="0.2">
      <c r="L6" s="19" t="str">
        <f>_xlfn.XLOOKUP(VALUE(L7),TablaOrigen[Cod. As.],TablaOrigen[Desc.Asignatura PLAN ACTUAL],"error")</f>
        <v>Inglés I</v>
      </c>
      <c r="M6" s="19" t="str">
        <f>_xlfn.XLOOKUP(VALUE(M7),TablaOrigen[Cod. As.],TablaOrigen[Desc.Asignatura PLAN ACTUAL],"error")</f>
        <v>Física I</v>
      </c>
      <c r="N6" s="19" t="str">
        <f>_xlfn.XLOOKUP(VALUE(N7),TablaOrigen[Cod. As.],TablaOrigen[Desc.Asignatura PLAN ACTUAL],"error")</f>
        <v>Química</v>
      </c>
      <c r="O6" s="19" t="str">
        <f>_xlfn.XLOOKUP(VALUE(O7),TablaOrigen[Cod. As.],TablaOrigen[Desc.Asignatura PLAN ACTUAL],"error")</f>
        <v>Matemáticas I</v>
      </c>
      <c r="P6" s="19" t="str">
        <f>_xlfn.XLOOKUP(VALUE(P7),TablaOrigen[Cod. As.],TablaOrigen[Desc.Asignatura PLAN ACTUAL],"error")</f>
        <v>Empresa</v>
      </c>
      <c r="Q6" s="19" t="str">
        <f>_xlfn.XLOOKUP(VALUE(Q7),TablaOrigen[Cod. As.],TablaOrigen[Desc.Asignatura PLAN ACTUAL],"error")</f>
        <v>Física II</v>
      </c>
      <c r="R6" s="19" t="str">
        <f>_xlfn.XLOOKUP(VALUE(R7),TablaOrigen[Cod. As.],TablaOrigen[Desc.Asignatura PLAN ACTUAL],"error")</f>
        <v>Matemáticas II</v>
      </c>
      <c r="S6" s="19" t="str">
        <f>_xlfn.XLOOKUP(VALUE(S7),TablaOrigen[Cod. As.],TablaOrigen[Desc.Asignatura PLAN ACTUAL],"error")</f>
        <v>Inglés II</v>
      </c>
      <c r="T6" s="19" t="str">
        <f>_xlfn.XLOOKUP(VALUE(T7),TablaOrigen[Cod. As.],TablaOrigen[Desc.Asignatura PLAN ACTUAL],"error")</f>
        <v>Expresión Gráfica</v>
      </c>
      <c r="U6" s="19" t="str">
        <f>_xlfn.XLOOKUP(VALUE(U7),TablaOrigen[Cod. As.],TablaOrigen[Desc.Asignatura PLAN ACTUAL],"error")</f>
        <v>Informática</v>
      </c>
      <c r="V6" s="19" t="str">
        <f>_xlfn.XLOOKUP(VALUE(V7),TablaOrigen[Cod. As.],TablaOrigen[Desc.Asignatura PLAN ACTUAL],"error")</f>
        <v>Construcción Naval</v>
      </c>
      <c r="W6" s="19" t="str">
        <f>_xlfn.XLOOKUP(VALUE(W7),TablaOrigen[Cod. As.],TablaOrigen[Desc.Asignatura PLAN ACTUAL],"error")</f>
        <v>Teoria del Buque</v>
      </c>
      <c r="X6" s="19" t="str">
        <f>_xlfn.XLOOKUP(VALUE(X7),TablaOrigen[Cod. As.],TablaOrigen[Desc.Asignatura PLAN ACTUAL],"error")</f>
        <v>Seguridad del Buque y Prevención de la Contaminación</v>
      </c>
      <c r="Y6" s="19" t="str">
        <f>_xlfn.XLOOKUP(VALUE(Y7),TablaOrigen[Cod. As.],TablaOrigen[Desc.Asignatura PLAN ACTUAL],"error")</f>
        <v>Derecho Marítimo</v>
      </c>
      <c r="Z6" s="19" t="str">
        <f>_xlfn.XLOOKUP(VALUE(Z7),TablaOrigen[Cod. As.],TablaOrigen[Desc.Asignatura PLAN ACTUAL],"error")</f>
        <v>Sistemas Principales y Auxiliares</v>
      </c>
      <c r="AA6" s="19" t="str">
        <f>_xlfn.XLOOKUP(VALUE(AA7),TablaOrigen[Cod. As.],TablaOrigen[Desc.Asignatura PLAN ACTUAL],"error")</f>
        <v>Electrónica y Automática</v>
      </c>
      <c r="AB6" s="19" t="str">
        <f>_xlfn.XLOOKUP(VALUE(AB7),TablaOrigen[Cod. As.],TablaOrigen[Desc.Asignatura PLAN ACTUAL],"error")</f>
        <v>Electrotecnia y Propulsión Eléctrica</v>
      </c>
      <c r="AC6" s="19" t="str">
        <f>_xlfn.XLOOKUP(VALUE(AC7),TablaOrigen[Cod. As.],TablaOrigen[Desc.Asignatura PLAN ACTUAL],"error")</f>
        <v>Seguridad Aplicada</v>
      </c>
      <c r="AD6" s="19" t="str">
        <f>_xlfn.XLOOKUP(VALUE(AD7),TablaOrigen[Cod. As.],TablaOrigen[Desc.Asignatura PLAN ACTUAL],"error")</f>
        <v>Termotecnia y Mecánica de Fluidos</v>
      </c>
      <c r="AE6" s="19" t="str">
        <f>_xlfn.XLOOKUP(VALUE(AE7),TablaOrigen[Cod. As.],TablaOrigen[Desc.Asignatura PLAN ACTUAL],"error")</f>
        <v>Mecánica y Resistencia de los Materiales</v>
      </c>
      <c r="AF6" s="19" t="str">
        <f>_xlfn.XLOOKUP(VALUE(AF7),TablaOrigen[Cod. As.],TablaOrigen[Desc.Asignatura PLAN ACTUAL],"error")</f>
        <v>Calderas y Turbinas de Vapor I</v>
      </c>
      <c r="AG6" s="19" t="str">
        <f>_xlfn.XLOOKUP(VALUE(AG7),TablaOrigen[Cod. As.],TablaOrigen[Desc.Asignatura PLAN ACTUAL],"error")</f>
        <v>Motores de Combustión Interna I</v>
      </c>
      <c r="AH6" s="19" t="str">
        <f>_xlfn.XLOOKUP(VALUE(AH7),TablaOrigen[Cod. As.],TablaOrigen[Desc.Asignatura PLAN ACTUAL],"error")</f>
        <v>Técnicas de Frio y Climatización</v>
      </c>
      <c r="AI6" s="19" t="str">
        <f>_xlfn.XLOOKUP(VALUE(AI7),TablaOrigen[Cod. As.],TablaOrigen[Desc.Asignatura PLAN ACTUAL],"error")</f>
        <v>Instrumentación, Regulación y Control</v>
      </c>
      <c r="AJ6" s="19" t="str">
        <f>_xlfn.XLOOKUP(VALUE(AJ7),TablaOrigen[Cod. As.],TablaOrigen[Desc.Asignatura PLAN ACTUAL],"error")</f>
        <v>Ciencias y Técnicas de los Materiales</v>
      </c>
      <c r="AK6" s="19" t="str">
        <f>_xlfn.XLOOKUP(VALUE(AK7),TablaOrigen[Cod. As.],TablaOrigen[Desc.Asignatura PLAN ACTUAL],"error")</f>
        <v>Transportes Especiales</v>
      </c>
      <c r="AL6" s="19" t="str">
        <f>_xlfn.XLOOKUP(VALUE(AL7),TablaOrigen[Cod. As.],TablaOrigen[Desc.Asignatura PLAN ACTUAL],"error")</f>
        <v>Oficina Técnica</v>
      </c>
      <c r="AM6" s="19" t="str">
        <f>_xlfn.XLOOKUP(VALUE(AM7),TablaOrigen[Cod. As.],TablaOrigen[Desc.Asignatura PLAN ACTUAL],"error")</f>
        <v>Tecnología Mecánica</v>
      </c>
      <c r="AN6" s="19" t="str">
        <f>_xlfn.XLOOKUP(VALUE(AN7),TablaOrigen[Cod. As.],TablaOrigen[Desc.Asignatura PLAN ACTUAL],"error")</f>
        <v>Motores de Combustión Interna II</v>
      </c>
      <c r="AO6" s="19" t="str">
        <f>_xlfn.XLOOKUP(VALUE(AO7),TablaOrigen[Cod. As.],TablaOrigen[Desc.Asignatura PLAN ACTUAL],"error")</f>
        <v>Calderas y Turbinas de Vapor II</v>
      </c>
      <c r="AP6" s="19" t="str">
        <f>_xlfn.XLOOKUP(VALUE(AP7),TablaOrigen[Cod. As.],TablaOrigen[Desc.Asignatura PLAN ACTUAL],"error")</f>
        <v>Electrónica de Potencia y Motores Eléctricos</v>
      </c>
      <c r="AQ6" s="19" t="str">
        <f>_xlfn.XLOOKUP(VALUE(AQ7),TablaOrigen[Cod. As.],TablaOrigen[Desc.Asignatura PLAN ACTUAL],"error")</f>
        <v>Técnicas de Mantenimiento</v>
      </c>
      <c r="AR6" s="19" t="str">
        <f>_xlfn.XLOOKUP(VALUE(AR7),TablaOrigen[Cod. As.],TablaOrigen[Desc.Asignatura PLAN ACTUAL],"error")</f>
        <v>Gestión Integral de Mantenimiento</v>
      </c>
      <c r="AS6" s="19" t="str">
        <f>_xlfn.XLOOKUP(VALUE(AS7),TablaOrigen[Cod. As.],TablaOrigen[Desc.Asignatura PLAN ACTUAL],"error")</f>
        <v>Prevención de Riesgos Laborales</v>
      </c>
      <c r="AT6" s="23" t="str">
        <f>_xlfn.XLOOKUP(VALUE(AT7),TablaOrigen[Cod. As.],TablaOrigen[Desc.Asignatura PLAN ACTUAL],"error")</f>
        <v>Automatización Naval</v>
      </c>
      <c r="AU6" s="19" t="str">
        <f>_xlfn.XLOOKUP(VALUE(AU7),TablaOrigen[Cod. As.],TablaOrigen[Desc.Asignatura PLAN ACTUAL],"error")</f>
        <v>Elasticidad y Resistencia de Materiales</v>
      </c>
      <c r="AV6" s="19" t="str">
        <f>_xlfn.XLOOKUP(VALUE(AV7),TablaOrigen[Cod. As.],TablaOrigen[Desc.Asignatura PLAN ACTUAL],"error")</f>
        <v>Instalaciones Marítimas</v>
      </c>
      <c r="AW6" s="19" t="str">
        <f>_xlfn.XLOOKUP(VALUE(AW7),TablaOrigen[Cod. As.],TablaOrigen[Desc.Asignatura PLAN ACTUAL],"error")</f>
        <v>Montajes y Mediciones</v>
      </c>
      <c r="AX6" s="19" t="str">
        <f>_xlfn.XLOOKUP(VALUE(AX7),TablaOrigen[Cod. As.],TablaOrigen[Desc.Asignatura PLAN ACTUAL],"error")</f>
        <v>Propulsión Eléctrica</v>
      </c>
      <c r="AY6" s="19" t="str">
        <f>_xlfn.XLOOKUP(VALUE(AY7),TablaOrigen[Cod. As.],TablaOrigen[Desc.Asignatura PLAN ACTUAL],"error")</f>
        <v>Regulación Automática</v>
      </c>
      <c r="AZ6" s="19" t="str">
        <f>_xlfn.XLOOKUP(VALUE(AZ7),TablaOrigen[Cod. As.],TablaOrigen[Desc.Asignatura PLAN ACTUAL],"error")</f>
        <v>Comunicación Científico-técnica Escrita en Euskera</v>
      </c>
      <c r="BA6" s="19" t="str">
        <f>_xlfn.XLOOKUP(VALUE(BA7),TablaOrigen[Cod. As.],TablaOrigen[Desc.Asignatura PLAN ACTUAL],"error")</f>
        <v xml:space="preserve">Comunicación Científico-técnica Oral en Euskera	</v>
      </c>
      <c r="BB6" s="19" t="str">
        <f>_xlfn.XLOOKUP(VALUE(BB7),TablaOrigen[Cod. As.],TablaOrigen[Desc.Asignatura PLAN ACTUAL],"error")</f>
        <v>Prácticas en Buques</v>
      </c>
      <c r="BC6" s="32" t="e">
        <f>_xlfn.XLOOKUP(VALUE(BC7),TablaOrigen[Cod. As.],TablaOrigen[Desc.Asignatura PLAN ACTUAL],"error")</f>
        <v>#VALUE!</v>
      </c>
      <c r="BD6" s="32" t="e">
        <f>_xlfn.XLOOKUP(VALUE(BD7),TablaOrigen[Cod. As.],TablaOrigen[Desc.Asignatura PLAN ACTUAL],"error")</f>
        <v>#VALUE!</v>
      </c>
      <c r="BE6" s="32" t="e">
        <f>_xlfn.XLOOKUP(VALUE(BE7),TablaOrigen[Cod. As.],TablaOrigen[Desc.Asignatura PLAN ACTUAL],"error")</f>
        <v>#VALUE!</v>
      </c>
      <c r="BF6" s="33" t="e">
        <f>_xlfn.XLOOKUP(VALUE(BF7),TablaOrigen[Cod. As.],TablaOrigen[Desc.Asignatura PLAN ACTUAL],"error")</f>
        <v>#VALUE!</v>
      </c>
      <c r="BG6" s="32" t="e">
        <f>_xlfn.XLOOKUP(VALUE(BG7),TablaOrigen[Cod. As.],TablaOrigen[Desc.Asignatura PLAN ACTUAL],"error")</f>
        <v>#VALUE!</v>
      </c>
      <c r="BH6" s="32" t="e">
        <f>_xlfn.XLOOKUP(VALUE(BH7),TablaOrigen[Cod. As.],TablaOrigen[Desc.Asignatura PLAN ACTUAL],"error")</f>
        <v>#VALUE!</v>
      </c>
      <c r="BI6" s="32" t="e">
        <f>_xlfn.XLOOKUP(VALUE(BI7),TablaOrigen[Cod. As.],TablaOrigen[Desc.Asignatura PLAN ACTUAL],"error")</f>
        <v>#VALUE!</v>
      </c>
      <c r="BJ6" s="32" t="e">
        <f>_xlfn.XLOOKUP(VALUE(BJ7),TablaOrigen[Cod. As.],TablaOrigen[Desc.Asignatura PLAN ACTUAL],"error")</f>
        <v>#VALUE!</v>
      </c>
      <c r="BK6" s="32" t="e">
        <f>_xlfn.XLOOKUP(VALUE(BK7),TablaOrigen[Cod. As.],TablaOrigen[Desc.Asignatura PLAN ACTUAL],"error")</f>
        <v>#VALUE!</v>
      </c>
      <c r="BL6" s="32" t="e">
        <f>_xlfn.XLOOKUP(VALUE(BL7),TablaOrigen[Cod. As.],TablaOrigen[Desc.Asignatura PLAN ACTUAL],"error")</f>
        <v>#VALUE!</v>
      </c>
      <c r="BM6" s="32" t="e">
        <f>_xlfn.XLOOKUP(VALUE(BM7),TablaOrigen[Cod. As.],TablaOrigen[Desc.Asignatura PLAN ACTUAL],"error")</f>
        <v>#VALUE!</v>
      </c>
      <c r="BN6" s="32" t="e">
        <f>_xlfn.XLOOKUP(VALUE(BN7),TablaOrigen[Cod. As.],TablaOrigen[Desc.Asignatura PLAN ACTUAL],"error")</f>
        <v>#VALUE!</v>
      </c>
      <c r="BO6" s="32" t="e">
        <f>_xlfn.XLOOKUP(VALUE(BO7),TablaOrigen[Cod. As.],TablaOrigen[Desc.Asignatura PLAN ACTUAL],"error")</f>
        <v>#VALUE!</v>
      </c>
      <c r="BP6" s="32" t="e">
        <f>_xlfn.XLOOKUP(VALUE(BP7),TablaOrigen[Cod. As.],TablaOrigen[Desc.Asignatura PLAN ACTUAL],"error")</f>
        <v>#VALUE!</v>
      </c>
      <c r="BQ6" s="32" t="e">
        <f>_xlfn.XLOOKUP(VALUE(BQ7),TablaOrigen[Cod. As.],TablaOrigen[Desc.Asignatura PLAN ACTUAL],"error")</f>
        <v>#VALUE!</v>
      </c>
      <c r="BR6" s="32" t="e">
        <f>_xlfn.XLOOKUP(VALUE(BR7),TablaOrigen[Cod. As.],TablaOrigen[Desc.Asignatura PLAN ACTUAL],"error")</f>
        <v>#VALUE!</v>
      </c>
      <c r="BS6" s="104" t="s">
        <v>37</v>
      </c>
      <c r="BT6" s="105"/>
      <c r="BU6" s="105"/>
      <c r="BV6" s="105"/>
      <c r="BW6" s="105"/>
      <c r="BX6" s="41"/>
      <c r="BY6" s="41"/>
      <c r="BZ6" s="41"/>
    </row>
    <row r="7" spans="3:87" x14ac:dyDescent="0.2">
      <c r="C7" t="s">
        <v>13</v>
      </c>
      <c r="D7" s="8" t="s">
        <v>14</v>
      </c>
      <c r="E7" s="8" t="s">
        <v>42</v>
      </c>
      <c r="F7" s="8" t="s">
        <v>30</v>
      </c>
      <c r="G7" s="8" t="s">
        <v>0</v>
      </c>
      <c r="H7" s="8" t="s">
        <v>5</v>
      </c>
      <c r="I7" s="8" t="s">
        <v>1</v>
      </c>
      <c r="J7" s="8" t="s">
        <v>15</v>
      </c>
      <c r="K7" s="8" t="s">
        <v>31</v>
      </c>
      <c r="L7" s="28" t="s">
        <v>219</v>
      </c>
      <c r="M7" s="28" t="s">
        <v>220</v>
      </c>
      <c r="N7" s="28" t="s">
        <v>221</v>
      </c>
      <c r="O7" s="28" t="s">
        <v>222</v>
      </c>
      <c r="P7" s="28" t="s">
        <v>223</v>
      </c>
      <c r="Q7" s="28" t="s">
        <v>224</v>
      </c>
      <c r="R7" s="28" t="s">
        <v>225</v>
      </c>
      <c r="S7" s="28" t="s">
        <v>226</v>
      </c>
      <c r="T7" s="28" t="s">
        <v>227</v>
      </c>
      <c r="U7" s="28" t="s">
        <v>228</v>
      </c>
      <c r="V7" s="28" t="s">
        <v>229</v>
      </c>
      <c r="W7" s="28" t="s">
        <v>230</v>
      </c>
      <c r="X7" s="28" t="s">
        <v>231</v>
      </c>
      <c r="Y7" s="28" t="s">
        <v>232</v>
      </c>
      <c r="Z7" s="28" t="s">
        <v>233</v>
      </c>
      <c r="AA7" s="28" t="s">
        <v>234</v>
      </c>
      <c r="AB7" s="28" t="s">
        <v>235</v>
      </c>
      <c r="AC7" s="28" t="s">
        <v>236</v>
      </c>
      <c r="AD7" s="28" t="s">
        <v>237</v>
      </c>
      <c r="AE7" s="28" t="s">
        <v>238</v>
      </c>
      <c r="AF7" s="28" t="s">
        <v>239</v>
      </c>
      <c r="AG7" s="28" t="s">
        <v>240</v>
      </c>
      <c r="AH7" s="28" t="s">
        <v>241</v>
      </c>
      <c r="AI7" s="28" t="s">
        <v>242</v>
      </c>
      <c r="AJ7" s="28" t="s">
        <v>243</v>
      </c>
      <c r="AK7" s="28" t="s">
        <v>244</v>
      </c>
      <c r="AL7" s="28" t="s">
        <v>245</v>
      </c>
      <c r="AM7" s="28" t="s">
        <v>246</v>
      </c>
      <c r="AN7" s="28" t="s">
        <v>247</v>
      </c>
      <c r="AO7" s="28" t="s">
        <v>248</v>
      </c>
      <c r="AP7" s="28" t="s">
        <v>249</v>
      </c>
      <c r="AQ7" s="28" t="s">
        <v>250</v>
      </c>
      <c r="AR7" s="28" t="s">
        <v>251</v>
      </c>
      <c r="AS7" s="28" t="s">
        <v>252</v>
      </c>
      <c r="AT7" s="28" t="s">
        <v>253</v>
      </c>
      <c r="AU7" s="28" t="s">
        <v>254</v>
      </c>
      <c r="AV7" s="28" t="s">
        <v>255</v>
      </c>
      <c r="AW7" s="28" t="s">
        <v>256</v>
      </c>
      <c r="AX7" s="28" t="s">
        <v>257</v>
      </c>
      <c r="AY7" s="28" t="s">
        <v>258</v>
      </c>
      <c r="AZ7" s="28" t="s">
        <v>33</v>
      </c>
      <c r="BA7" s="28" t="s">
        <v>34</v>
      </c>
      <c r="BB7" s="29" t="s">
        <v>259</v>
      </c>
      <c r="BC7" s="34" t="s">
        <v>263</v>
      </c>
      <c r="BD7" s="34" t="s">
        <v>264</v>
      </c>
      <c r="BE7" s="34" t="s">
        <v>265</v>
      </c>
      <c r="BF7" s="34" t="s">
        <v>266</v>
      </c>
      <c r="BG7" s="34" t="s">
        <v>267</v>
      </c>
      <c r="BH7" s="34" t="s">
        <v>268</v>
      </c>
      <c r="BI7" s="34" t="s">
        <v>269</v>
      </c>
      <c r="BJ7" s="34" t="s">
        <v>270</v>
      </c>
      <c r="BK7" s="34" t="s">
        <v>271</v>
      </c>
      <c r="BL7" s="34" t="s">
        <v>272</v>
      </c>
      <c r="BM7" s="34" t="s">
        <v>273</v>
      </c>
      <c r="BN7" s="34" t="s">
        <v>274</v>
      </c>
      <c r="BO7" s="34" t="s">
        <v>275</v>
      </c>
      <c r="BP7" s="34" t="s">
        <v>276</v>
      </c>
      <c r="BQ7" s="34" t="s">
        <v>277</v>
      </c>
      <c r="BR7" s="34" t="s">
        <v>278</v>
      </c>
      <c r="BS7" s="10" t="s">
        <v>36</v>
      </c>
      <c r="BT7" s="10" t="s">
        <v>260</v>
      </c>
      <c r="BU7" s="10" t="s">
        <v>261</v>
      </c>
      <c r="BV7" s="10" t="s">
        <v>262</v>
      </c>
      <c r="BW7" s="10" t="s">
        <v>288</v>
      </c>
      <c r="BX7" s="9" t="s">
        <v>295</v>
      </c>
      <c r="BY7" s="9" t="s">
        <v>356</v>
      </c>
      <c r="BZ7" s="9" t="s">
        <v>357</v>
      </c>
      <c r="CA7" s="9" t="s">
        <v>284</v>
      </c>
      <c r="CB7" s="9" t="s">
        <v>283</v>
      </c>
      <c r="CC7" s="9" t="s">
        <v>285</v>
      </c>
      <c r="CD7" s="9" t="s">
        <v>287</v>
      </c>
      <c r="CE7" s="9" t="s">
        <v>286</v>
      </c>
      <c r="CF7" s="9" t="s">
        <v>297</v>
      </c>
      <c r="CG7" s="9" t="s">
        <v>358</v>
      </c>
      <c r="CH7" s="9" t="s">
        <v>359</v>
      </c>
      <c r="CI7" s="27" t="s">
        <v>91</v>
      </c>
    </row>
    <row r="8" spans="3:87" x14ac:dyDescent="0.2">
      <c r="C8">
        <v>1</v>
      </c>
      <c r="D8" s="5" t="str">
        <f>_xlfn.XLOOKUP(TablaAdaptacionporasignatura[[#This Row],[ID Asig]],TablaDestino[ID Asig],TablaDestino[Módulo])</f>
        <v>Formación Básica</v>
      </c>
      <c r="E8" s="5" t="str">
        <f>_xlfn.XLOOKUP(TablaAdaptacionporasignatura[[#This Row],[ID Asig]],TablaDestino[ID Asig],TablaDestino[ID Modulo])</f>
        <v>M1</v>
      </c>
      <c r="F8" s="30" t="s">
        <v>152</v>
      </c>
      <c r="G8" s="5" t="str">
        <f>_xlfn.XLOOKUP(TablaAdaptacionporasignatura[[#This Row],[ID Asig]],TablaDestino[ID Asig],TablaDestino[Asignatura])</f>
        <v>Empresa y Economía Marítima</v>
      </c>
      <c r="H8" s="5">
        <f>_xlfn.XLOOKUP(TablaAdaptacionporasignatura[[#This Row],[ID Asig]],TablaDestino[ID Asig],TablaDestino[Curso])</f>
        <v>1</v>
      </c>
      <c r="I8" s="5">
        <f>_xlfn.XLOOKUP(TablaAdaptacionporasignatura[[#This Row],[ID Asig]],TablaDestino[ID Asig],TablaDestino[Cuatr])</f>
        <v>1</v>
      </c>
      <c r="J8" s="5">
        <f>_xlfn.XLOOKUP(TablaAdaptacionporasignatura[[#This Row],[ID Asig]],TablaDestino[ID Asig],TablaDestino[ECTS])</f>
        <v>6</v>
      </c>
      <c r="K8" s="5" t="str">
        <f>_xlfn.XLOOKUP(TablaAdaptacionporasignatura[[#This Row],[ID Asig]],TablaDestino[ID Asig],TablaDestino[Tipo])</f>
        <v>Básica</v>
      </c>
      <c r="L8" s="5"/>
      <c r="M8" s="5"/>
      <c r="N8" s="5"/>
      <c r="O8" s="5"/>
      <c r="P8" s="5" t="s">
        <v>35</v>
      </c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7" t="str" cm="1">
        <f t="array" ref="BS8">_xlfn.XLOOKUP("X",TablaAdaptacionporasignatura[[#This Row],[27448]:[Aux16]],TablaAdaptacionporasignatura[[#Headers],[27448]:[Aux16]],"")</f>
        <v>27451</v>
      </c>
      <c r="BT8" s="7" t="str" cm="1">
        <f t="array" ref="BT8">_xlfn.XLOOKUP("Y1",TablaAdaptacionporasignatura[[#This Row],[27448]:[Aux16]],TablaAdaptacionporasignatura[[#Headers],[27448]:[Aux16]],"")</f>
        <v/>
      </c>
      <c r="BU8" s="7" t="str" cm="1">
        <f t="array" ref="BU8">_xlfn.XLOOKUP("Y2",TablaAdaptacionporasignatura[[#This Row],[27448]:[Aux16]],TablaAdaptacionporasignatura[[#Headers],[27448]:[Aux16]],"")</f>
        <v/>
      </c>
      <c r="BV8" s="7" t="str" cm="1">
        <f t="array" ref="BV8">_xlfn.XLOOKUP("Y3",TablaAdaptacionporasignatura[[#This Row],[27448]:[Aux16]],TablaAdaptacionporasignatura[[#Headers],[27448]:[Aux16]],"")</f>
        <v/>
      </c>
      <c r="BW8" s="7" t="str" cm="1">
        <f t="array" ref="BW8">_xlfn.XLOOKUP("Y4",TablaAdaptacionporasignatura[[#This Row],[27448]:[Aux16]],TablaAdaptacionporasignatura[[#Headers],[27448]:[Aux16]],"")</f>
        <v/>
      </c>
      <c r="BX8" s="7" t="str" cm="1">
        <f t="array" ref="BX8">_xlfn.XLOOKUP("O1",TablaAdaptacionporasignatura[[#This Row],[27448]:[Aux16]],TablaAdaptacionporasignatura[[#Headers],[27448]:[Aux16]],"")</f>
        <v/>
      </c>
      <c r="BY8" s="7" t="str" cm="1">
        <f t="array" ref="BY8">_xlfn.XLOOKUP("O2",TablaAdaptacionporasignatura[[#This Row],[27448]:[Aux16]],TablaAdaptacionporasignatura[[#Headers],[27448]:[Aux16]],"")</f>
        <v/>
      </c>
      <c r="BZ8" s="7" t="str" cm="1">
        <f t="array" ref="BZ8">_xlfn.XLOOKUP("O3",TablaAdaptacionporasignatura[[#This Row],[27448]:[Aux16]],TablaAdaptacionporasignatura[[#Headers],[27448]:[Aux16]],"")</f>
        <v/>
      </c>
      <c r="CA8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8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8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8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8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8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8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8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8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9" spans="3:87" x14ac:dyDescent="0.2">
      <c r="C9">
        <v>2</v>
      </c>
      <c r="D9" s="5" t="str">
        <f>_xlfn.XLOOKUP(TablaAdaptacionporasignatura[[#This Row],[ID Asig]],TablaDestino[ID Asig],TablaDestino[Módulo])</f>
        <v>Formación Básica</v>
      </c>
      <c r="E9" t="str">
        <f>_xlfn.XLOOKUP(TablaAdaptacionporasignatura[[#This Row],[ID Asig]],TablaDestino[ID Asig],TablaDestino[ID Modulo])</f>
        <v>M1</v>
      </c>
      <c r="F9" s="30" t="s">
        <v>154</v>
      </c>
      <c r="G9" s="5" t="str">
        <f>_xlfn.XLOOKUP(TablaAdaptacionporasignatura[[#This Row],[ID Asig]],TablaDestino[ID Asig],TablaDestino[Asignatura])</f>
        <v>Expresión Gráfica</v>
      </c>
      <c r="H9" s="5">
        <f>_xlfn.XLOOKUP(TablaAdaptacionporasignatura[[#This Row],[ID Asig]],TablaDestino[ID Asig],TablaDestino[Curso])</f>
        <v>1</v>
      </c>
      <c r="I9" s="5">
        <f>_xlfn.XLOOKUP(TablaAdaptacionporasignatura[[#This Row],[ID Asig]],TablaDestino[ID Asig],TablaDestino[Cuatr])</f>
        <v>1</v>
      </c>
      <c r="J9" s="5">
        <f>_xlfn.XLOOKUP(TablaAdaptacionporasignatura[[#This Row],[ID Asig]],TablaDestino[ID Asig],TablaDestino[ECTS])</f>
        <v>6</v>
      </c>
      <c r="K9" s="5" t="str">
        <f>_xlfn.XLOOKUP(TablaAdaptacionporasignatura[[#This Row],[ID Asig]],TablaDestino[ID Asig],TablaDestino[Tipo])</f>
        <v>Básica</v>
      </c>
      <c r="L9" s="5"/>
      <c r="M9" s="5"/>
      <c r="N9" s="5"/>
      <c r="O9" s="5"/>
      <c r="P9" s="5"/>
      <c r="Q9" s="5"/>
      <c r="R9" s="5"/>
      <c r="S9" s="5"/>
      <c r="T9" s="5" t="s">
        <v>35</v>
      </c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7" t="str" cm="1">
        <f t="array" ref="BS9">_xlfn.XLOOKUP("X",TablaAdaptacionporasignatura[[#This Row],[27448]:[Aux16]],TablaAdaptacionporasignatura[[#Headers],[27448]:[Aux16]],"")</f>
        <v>27442</v>
      </c>
      <c r="BT9" s="7" t="str" cm="1">
        <f t="array" ref="BT9">_xlfn.XLOOKUP("Y1",TablaAdaptacionporasignatura[[#This Row],[27448]:[Aux16]],TablaAdaptacionporasignatura[[#Headers],[27448]:[Aux16]],"")</f>
        <v/>
      </c>
      <c r="BU9" s="7" t="str" cm="1">
        <f t="array" ref="BU9">_xlfn.XLOOKUP("Y2",TablaAdaptacionporasignatura[[#This Row],[27448]:[Aux16]],TablaAdaptacionporasignatura[[#Headers],[27448]:[Aux16]],"")</f>
        <v/>
      </c>
      <c r="BV9" s="7" t="str" cm="1">
        <f t="array" ref="BV9">_xlfn.XLOOKUP("Y3",TablaAdaptacionporasignatura[[#This Row],[27448]:[Aux16]],TablaAdaptacionporasignatura[[#Headers],[27448]:[Aux16]],"")</f>
        <v/>
      </c>
      <c r="BW9" s="7" t="str" cm="1">
        <f t="array" ref="BW9">_xlfn.XLOOKUP("Y4",TablaAdaptacionporasignatura[[#This Row],[27448]:[Aux16]],TablaAdaptacionporasignatura[[#Headers],[27448]:[Aux16]],"")</f>
        <v/>
      </c>
      <c r="BX9" s="7" t="str" cm="1">
        <f t="array" ref="BX9">_xlfn.XLOOKUP("O1",TablaAdaptacionporasignatura[[#This Row],[27448]:[Aux16]],TablaAdaptacionporasignatura[[#Headers],[27448]:[Aux16]],"")</f>
        <v/>
      </c>
      <c r="BY9" s="5" t="str" cm="1">
        <f t="array" ref="BY9">_xlfn.XLOOKUP("O2",TablaAdaptacionporasignatura[[#This Row],[27448]:[Aux16]],TablaAdaptacionporasignatura[[#Headers],[27448]:[Aux16]],"")</f>
        <v/>
      </c>
      <c r="BZ9" s="5" t="str" cm="1">
        <f t="array" ref="BZ9">_xlfn.XLOOKUP("O3",TablaAdaptacionporasignatura[[#This Row],[27448]:[Aux16]],TablaAdaptacionporasignatura[[#Headers],[27448]:[Aux16]],"")</f>
        <v/>
      </c>
      <c r="CA9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9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9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9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9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9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9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9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9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10" spans="3:87" x14ac:dyDescent="0.2">
      <c r="C10">
        <v>3</v>
      </c>
      <c r="D10" s="5" t="str">
        <f>_xlfn.XLOOKUP(TablaAdaptacionporasignatura[[#This Row],[ID Asig]],TablaDestino[ID Asig],TablaDestino[Módulo])</f>
        <v>Formación Básica</v>
      </c>
      <c r="E10" t="str">
        <f>_xlfn.XLOOKUP(TablaAdaptacionporasignatura[[#This Row],[ID Asig]],TablaDestino[ID Asig],TablaDestino[ID Modulo])</f>
        <v>M1</v>
      </c>
      <c r="F10" s="30" t="s">
        <v>155</v>
      </c>
      <c r="G10" s="5" t="str">
        <f>_xlfn.XLOOKUP(TablaAdaptacionporasignatura[[#This Row],[ID Asig]],TablaDestino[ID Asig],TablaDestino[Asignatura])</f>
        <v>Inglés Técnico Marítimo</v>
      </c>
      <c r="H10" s="5">
        <f>_xlfn.XLOOKUP(TablaAdaptacionporasignatura[[#This Row],[ID Asig]],TablaDestino[ID Asig],TablaDestino[Curso])</f>
        <v>1</v>
      </c>
      <c r="I10" s="5">
        <f>_xlfn.XLOOKUP(TablaAdaptacionporasignatura[[#This Row],[ID Asig]],TablaDestino[ID Asig],TablaDestino[Cuatr])</f>
        <v>2</v>
      </c>
      <c r="J10" s="5">
        <f>_xlfn.XLOOKUP(TablaAdaptacionporasignatura[[#This Row],[ID Asig]],TablaDestino[ID Asig],TablaDestino[ECTS])</f>
        <v>6</v>
      </c>
      <c r="K10" s="5" t="str">
        <f>_xlfn.XLOOKUP(TablaAdaptacionporasignatura[[#This Row],[ID Asig]],TablaDestino[ID Asig],TablaDestino[Tipo])</f>
        <v>Básica</v>
      </c>
      <c r="L10" s="5" t="s">
        <v>35</v>
      </c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7" t="str" cm="1">
        <f t="array" ref="BS10">_xlfn.XLOOKUP("X",TablaAdaptacionporasignatura[[#This Row],[27448]:[Aux16]],TablaAdaptacionporasignatura[[#Headers],[27448]:[Aux16]],"")</f>
        <v>27448</v>
      </c>
      <c r="BT10" s="7" t="str" cm="1">
        <f t="array" ref="BT10">_xlfn.XLOOKUP("Y1",TablaAdaptacionporasignatura[[#This Row],[27448]:[Aux16]],TablaAdaptacionporasignatura[[#Headers],[27448]:[Aux16]],"")</f>
        <v/>
      </c>
      <c r="BU10" s="7" t="str" cm="1">
        <f t="array" ref="BU10">_xlfn.XLOOKUP("Y2",TablaAdaptacionporasignatura[[#This Row],[27448]:[Aux16]],TablaAdaptacionporasignatura[[#Headers],[27448]:[Aux16]],"")</f>
        <v/>
      </c>
      <c r="BV10" s="7" t="str" cm="1">
        <f t="array" ref="BV10">_xlfn.XLOOKUP("Y3",TablaAdaptacionporasignatura[[#This Row],[27448]:[Aux16]],TablaAdaptacionporasignatura[[#Headers],[27448]:[Aux16]],"")</f>
        <v/>
      </c>
      <c r="BW10" s="7" t="str" cm="1">
        <f t="array" ref="BW10">_xlfn.XLOOKUP("Y4",TablaAdaptacionporasignatura[[#This Row],[27448]:[Aux16]],TablaAdaptacionporasignatura[[#Headers],[27448]:[Aux16]],"")</f>
        <v/>
      </c>
      <c r="BX10" s="7" t="str" cm="1">
        <f t="array" ref="BX10">_xlfn.XLOOKUP("O1",TablaAdaptacionporasignatura[[#This Row],[27448]:[Aux16]],TablaAdaptacionporasignatura[[#Headers],[27448]:[Aux16]],"")</f>
        <v/>
      </c>
      <c r="BY10" s="5" t="str" cm="1">
        <f t="array" ref="BY10">_xlfn.XLOOKUP("O2",TablaAdaptacionporasignatura[[#This Row],[27448]:[Aux16]],TablaAdaptacionporasignatura[[#Headers],[27448]:[Aux16]],"")</f>
        <v/>
      </c>
      <c r="BZ10" s="5" t="str" cm="1">
        <f t="array" ref="BZ10">_xlfn.XLOOKUP("O3",TablaAdaptacionporasignatura[[#This Row],[27448]:[Aux16]],TablaAdaptacionporasignatura[[#Headers],[27448]:[Aux16]],"")</f>
        <v/>
      </c>
      <c r="CA10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10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10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10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10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10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10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10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10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11" spans="3:87" x14ac:dyDescent="0.2">
      <c r="C11">
        <v>4</v>
      </c>
      <c r="D11" s="5" t="str">
        <f>_xlfn.XLOOKUP(TablaAdaptacionporasignatura[[#This Row],[ID Asig]],TablaDestino[ID Asig],TablaDestino[Módulo])</f>
        <v>Formación Básica</v>
      </c>
      <c r="E11" t="str">
        <f>_xlfn.XLOOKUP(TablaAdaptacionporasignatura[[#This Row],[ID Asig]],TablaDestino[ID Asig],TablaDestino[ID Modulo])</f>
        <v>M1</v>
      </c>
      <c r="F11" s="30" t="s">
        <v>157</v>
      </c>
      <c r="G11" s="5" t="str">
        <f>_xlfn.XLOOKUP(TablaAdaptacionporasignatura[[#This Row],[ID Asig]],TablaDestino[ID Asig],TablaDestino[Asignatura])</f>
        <v>Física I</v>
      </c>
      <c r="H11" s="5">
        <f>_xlfn.XLOOKUP(TablaAdaptacionporasignatura[[#This Row],[ID Asig]],TablaDestino[ID Asig],TablaDestino[Curso])</f>
        <v>1</v>
      </c>
      <c r="I11" s="5">
        <f>_xlfn.XLOOKUP(TablaAdaptacionporasignatura[[#This Row],[ID Asig]],TablaDestino[ID Asig],TablaDestino[Cuatr])</f>
        <v>1</v>
      </c>
      <c r="J11" s="5">
        <f>_xlfn.XLOOKUP(TablaAdaptacionporasignatura[[#This Row],[ID Asig]],TablaDestino[ID Asig],TablaDestino[ECTS])</f>
        <v>6</v>
      </c>
      <c r="K11" s="5" t="str">
        <f>_xlfn.XLOOKUP(TablaAdaptacionporasignatura[[#This Row],[ID Asig]],TablaDestino[ID Asig],TablaDestino[Tipo])</f>
        <v>Básica</v>
      </c>
      <c r="L11" s="5"/>
      <c r="M11" s="5" t="s">
        <v>35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7" t="str" cm="1">
        <f t="array" ref="BS11">_xlfn.XLOOKUP("X",TablaAdaptacionporasignatura[[#This Row],[27448]:[Aux16]],TablaAdaptacionporasignatura[[#Headers],[27448]:[Aux16]],"")</f>
        <v>27443</v>
      </c>
      <c r="BT11" s="7" t="str" cm="1">
        <f t="array" ref="BT11">_xlfn.XLOOKUP("Y1",TablaAdaptacionporasignatura[[#This Row],[27448]:[Aux16]],TablaAdaptacionporasignatura[[#Headers],[27448]:[Aux16]],"")</f>
        <v/>
      </c>
      <c r="BU11" s="7" t="str" cm="1">
        <f t="array" ref="BU11">_xlfn.XLOOKUP("Y2",TablaAdaptacionporasignatura[[#This Row],[27448]:[Aux16]],TablaAdaptacionporasignatura[[#Headers],[27448]:[Aux16]],"")</f>
        <v/>
      </c>
      <c r="BV11" s="7" t="str" cm="1">
        <f t="array" ref="BV11">_xlfn.XLOOKUP("Y3",TablaAdaptacionporasignatura[[#This Row],[27448]:[Aux16]],TablaAdaptacionporasignatura[[#Headers],[27448]:[Aux16]],"")</f>
        <v/>
      </c>
      <c r="BW11" s="7" t="str" cm="1">
        <f t="array" ref="BW11">_xlfn.XLOOKUP("Y4",TablaAdaptacionporasignatura[[#This Row],[27448]:[Aux16]],TablaAdaptacionporasignatura[[#Headers],[27448]:[Aux16]],"")</f>
        <v/>
      </c>
      <c r="BX11" s="7" t="str" cm="1">
        <f t="array" ref="BX11">_xlfn.XLOOKUP("O1",TablaAdaptacionporasignatura[[#This Row],[27448]:[Aux16]],TablaAdaptacionporasignatura[[#Headers],[27448]:[Aux16]],"")</f>
        <v/>
      </c>
      <c r="BY11" s="5" t="str" cm="1">
        <f t="array" ref="BY11">_xlfn.XLOOKUP("O2",TablaAdaptacionporasignatura[[#This Row],[27448]:[Aux16]],TablaAdaptacionporasignatura[[#Headers],[27448]:[Aux16]],"")</f>
        <v/>
      </c>
      <c r="BZ11" s="5" t="str" cm="1">
        <f t="array" ref="BZ11">_xlfn.XLOOKUP("O3",TablaAdaptacionporasignatura[[#This Row],[27448]:[Aux16]],TablaAdaptacionporasignatura[[#Headers],[27448]:[Aux16]],"")</f>
        <v/>
      </c>
      <c r="CA11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11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11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11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11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11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11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11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11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12" spans="3:87" x14ac:dyDescent="0.2">
      <c r="C12">
        <v>5</v>
      </c>
      <c r="D12" s="5" t="str">
        <f>_xlfn.XLOOKUP(TablaAdaptacionporasignatura[[#This Row],[ID Asig]],TablaDestino[ID Asig],TablaDestino[Módulo])</f>
        <v>Formación Básica</v>
      </c>
      <c r="E12" t="str">
        <f>_xlfn.XLOOKUP(TablaAdaptacionporasignatura[[#This Row],[ID Asig]],TablaDestino[ID Asig],TablaDestino[ID Modulo])</f>
        <v>M1</v>
      </c>
      <c r="F12" s="30" t="s">
        <v>158</v>
      </c>
      <c r="G12" s="5" t="str">
        <f>_xlfn.XLOOKUP(TablaAdaptacionporasignatura[[#This Row],[ID Asig]],TablaDestino[ID Asig],TablaDestino[Asignatura])</f>
        <v>Física II</v>
      </c>
      <c r="H12" s="5">
        <f>_xlfn.XLOOKUP(TablaAdaptacionporasignatura[[#This Row],[ID Asig]],TablaDestino[ID Asig],TablaDestino[Curso])</f>
        <v>1</v>
      </c>
      <c r="I12" s="5">
        <f>_xlfn.XLOOKUP(TablaAdaptacionporasignatura[[#This Row],[ID Asig]],TablaDestino[ID Asig],TablaDestino[Cuatr])</f>
        <v>2</v>
      </c>
      <c r="J12" s="5">
        <f>_xlfn.XLOOKUP(TablaAdaptacionporasignatura[[#This Row],[ID Asig]],TablaDestino[ID Asig],TablaDestino[ECTS])</f>
        <v>6</v>
      </c>
      <c r="K12" s="5" t="str">
        <f>_xlfn.XLOOKUP(TablaAdaptacionporasignatura[[#This Row],[ID Asig]],TablaDestino[ID Asig],TablaDestino[Tipo])</f>
        <v>Básica</v>
      </c>
      <c r="L12" s="5"/>
      <c r="M12" s="5"/>
      <c r="N12" s="5"/>
      <c r="O12" s="5"/>
      <c r="P12" s="5"/>
      <c r="Q12" s="5" t="s">
        <v>35</v>
      </c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7" t="str" cm="1">
        <f t="array" ref="BS12">_xlfn.XLOOKUP("X",TablaAdaptacionporasignatura[[#This Row],[27448]:[Aux16]],TablaAdaptacionporasignatura[[#Headers],[27448]:[Aux16]],"")</f>
        <v>27444</v>
      </c>
      <c r="BT12" s="7" t="str" cm="1">
        <f t="array" ref="BT12">_xlfn.XLOOKUP("Y1",TablaAdaptacionporasignatura[[#This Row],[27448]:[Aux16]],TablaAdaptacionporasignatura[[#Headers],[27448]:[Aux16]],"")</f>
        <v/>
      </c>
      <c r="BU12" s="7" t="str" cm="1">
        <f t="array" ref="BU12">_xlfn.XLOOKUP("Y2",TablaAdaptacionporasignatura[[#This Row],[27448]:[Aux16]],TablaAdaptacionporasignatura[[#Headers],[27448]:[Aux16]],"")</f>
        <v/>
      </c>
      <c r="BV12" s="7" t="str" cm="1">
        <f t="array" ref="BV12">_xlfn.XLOOKUP("Y3",TablaAdaptacionporasignatura[[#This Row],[27448]:[Aux16]],TablaAdaptacionporasignatura[[#Headers],[27448]:[Aux16]],"")</f>
        <v/>
      </c>
      <c r="BW12" s="7" t="str" cm="1">
        <f t="array" ref="BW12">_xlfn.XLOOKUP("Y4",TablaAdaptacionporasignatura[[#This Row],[27448]:[Aux16]],TablaAdaptacionporasignatura[[#Headers],[27448]:[Aux16]],"")</f>
        <v/>
      </c>
      <c r="BX12" s="7" t="str" cm="1">
        <f t="array" ref="BX12">_xlfn.XLOOKUP("O1",TablaAdaptacionporasignatura[[#This Row],[27448]:[Aux16]],TablaAdaptacionporasignatura[[#Headers],[27448]:[Aux16]],"")</f>
        <v/>
      </c>
      <c r="BY12" s="5" t="str" cm="1">
        <f t="array" ref="BY12">_xlfn.XLOOKUP("O2",TablaAdaptacionporasignatura[[#This Row],[27448]:[Aux16]],TablaAdaptacionporasignatura[[#Headers],[27448]:[Aux16]],"")</f>
        <v/>
      </c>
      <c r="BZ12" s="5" t="str" cm="1">
        <f t="array" ref="BZ12">_xlfn.XLOOKUP("O3",TablaAdaptacionporasignatura[[#This Row],[27448]:[Aux16]],TablaAdaptacionporasignatura[[#Headers],[27448]:[Aux16]],"")</f>
        <v/>
      </c>
      <c r="CA12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12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12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12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12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12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12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12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12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13" spans="3:87" x14ac:dyDescent="0.2">
      <c r="C13">
        <v>6</v>
      </c>
      <c r="D13" s="5" t="str">
        <f>_xlfn.XLOOKUP(TablaAdaptacionporasignatura[[#This Row],[ID Asig]],TablaDestino[ID Asig],TablaDestino[Módulo])</f>
        <v>Formación Básica</v>
      </c>
      <c r="E13" t="str">
        <f>_xlfn.XLOOKUP(TablaAdaptacionporasignatura[[#This Row],[ID Asig]],TablaDestino[ID Asig],TablaDestino[ID Modulo])</f>
        <v>M1</v>
      </c>
      <c r="F13" s="30" t="s">
        <v>159</v>
      </c>
      <c r="G13" s="5" t="str">
        <f>_xlfn.XLOOKUP(TablaAdaptacionporasignatura[[#This Row],[ID Asig]],TablaDestino[ID Asig],TablaDestino[Asignatura])</f>
        <v>Informática</v>
      </c>
      <c r="H13" s="5">
        <f>_xlfn.XLOOKUP(TablaAdaptacionporasignatura[[#This Row],[ID Asig]],TablaDestino[ID Asig],TablaDestino[Curso])</f>
        <v>1</v>
      </c>
      <c r="I13" s="5">
        <f>_xlfn.XLOOKUP(TablaAdaptacionporasignatura[[#This Row],[ID Asig]],TablaDestino[ID Asig],TablaDestino[Cuatr])</f>
        <v>2</v>
      </c>
      <c r="J13" s="5">
        <f>_xlfn.XLOOKUP(TablaAdaptacionporasignatura[[#This Row],[ID Asig]],TablaDestino[ID Asig],TablaDestino[ECTS])</f>
        <v>6</v>
      </c>
      <c r="K13" s="5" t="str">
        <f>_xlfn.XLOOKUP(TablaAdaptacionporasignatura[[#This Row],[ID Asig]],TablaDestino[ID Asig],TablaDestino[Tipo])</f>
        <v>Básica</v>
      </c>
      <c r="L13" s="5"/>
      <c r="M13" s="5"/>
      <c r="N13" s="5"/>
      <c r="O13" s="5"/>
      <c r="P13" s="5"/>
      <c r="Q13" s="5"/>
      <c r="R13" s="5"/>
      <c r="S13" s="5"/>
      <c r="T13" s="5"/>
      <c r="U13" s="5" t="s">
        <v>35</v>
      </c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7" t="str" cm="1">
        <f t="array" ref="BS13">_xlfn.XLOOKUP("X",TablaAdaptacionporasignatura[[#This Row],[27448]:[Aux16]],TablaAdaptacionporasignatura[[#Headers],[27448]:[Aux16]],"")</f>
        <v>27449</v>
      </c>
      <c r="BT13" s="7" t="str" cm="1">
        <f t="array" ref="BT13">_xlfn.XLOOKUP("Y1",TablaAdaptacionporasignatura[[#This Row],[27448]:[Aux16]],TablaAdaptacionporasignatura[[#Headers],[27448]:[Aux16]],"")</f>
        <v/>
      </c>
      <c r="BU13" s="7" t="str" cm="1">
        <f t="array" ref="BU13">_xlfn.XLOOKUP("Y2",TablaAdaptacionporasignatura[[#This Row],[27448]:[Aux16]],TablaAdaptacionporasignatura[[#Headers],[27448]:[Aux16]],"")</f>
        <v/>
      </c>
      <c r="BV13" s="7" t="str" cm="1">
        <f t="array" ref="BV13">_xlfn.XLOOKUP("Y3",TablaAdaptacionporasignatura[[#This Row],[27448]:[Aux16]],TablaAdaptacionporasignatura[[#Headers],[27448]:[Aux16]],"")</f>
        <v/>
      </c>
      <c r="BW13" s="7" t="str" cm="1">
        <f t="array" ref="BW13">_xlfn.XLOOKUP("Y4",TablaAdaptacionporasignatura[[#This Row],[27448]:[Aux16]],TablaAdaptacionporasignatura[[#Headers],[27448]:[Aux16]],"")</f>
        <v/>
      </c>
      <c r="BX13" s="7" t="str" cm="1">
        <f t="array" ref="BX13">_xlfn.XLOOKUP("O1",TablaAdaptacionporasignatura[[#This Row],[27448]:[Aux16]],TablaAdaptacionporasignatura[[#Headers],[27448]:[Aux16]],"")</f>
        <v/>
      </c>
      <c r="BY13" s="5" t="str" cm="1">
        <f t="array" ref="BY13">_xlfn.XLOOKUP("O2",TablaAdaptacionporasignatura[[#This Row],[27448]:[Aux16]],TablaAdaptacionporasignatura[[#Headers],[27448]:[Aux16]],"")</f>
        <v/>
      </c>
      <c r="BZ13" s="5" t="str" cm="1">
        <f t="array" ref="BZ13">_xlfn.XLOOKUP("O3",TablaAdaptacionporasignatura[[#This Row],[27448]:[Aux16]],TablaAdaptacionporasignatura[[#Headers],[27448]:[Aux16]],"")</f>
        <v/>
      </c>
      <c r="CA13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13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13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13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13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13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13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13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13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14" spans="3:87" x14ac:dyDescent="0.2">
      <c r="C14">
        <v>7</v>
      </c>
      <c r="D14" s="5" t="str">
        <f>_xlfn.XLOOKUP(TablaAdaptacionporasignatura[[#This Row],[ID Asig]],TablaDestino[ID Asig],TablaDestino[Módulo])</f>
        <v>Formación Básica</v>
      </c>
      <c r="E14" t="str">
        <f>_xlfn.XLOOKUP(TablaAdaptacionporasignatura[[#This Row],[ID Asig]],TablaDestino[ID Asig],TablaDestino[ID Modulo])</f>
        <v>M1</v>
      </c>
      <c r="F14" s="30" t="s">
        <v>160</v>
      </c>
      <c r="G14" s="5" t="str">
        <f>_xlfn.XLOOKUP(TablaAdaptacionporasignatura[[#This Row],[ID Asig]],TablaDestino[ID Asig],TablaDestino[Asignatura])</f>
        <v>Química</v>
      </c>
      <c r="H14" s="5">
        <f>_xlfn.XLOOKUP(TablaAdaptacionporasignatura[[#This Row],[ID Asig]],TablaDestino[ID Asig],TablaDestino[Curso])</f>
        <v>1</v>
      </c>
      <c r="I14" s="5">
        <f>_xlfn.XLOOKUP(TablaAdaptacionporasignatura[[#This Row],[ID Asig]],TablaDestino[ID Asig],TablaDestino[Cuatr])</f>
        <v>1</v>
      </c>
      <c r="J14" s="5">
        <f>_xlfn.XLOOKUP(TablaAdaptacionporasignatura[[#This Row],[ID Asig]],TablaDestino[ID Asig],TablaDestino[ECTS])</f>
        <v>6</v>
      </c>
      <c r="K14" s="5" t="str">
        <f>_xlfn.XLOOKUP(TablaAdaptacionporasignatura[[#This Row],[ID Asig]],TablaDestino[ID Asig],TablaDestino[Tipo])</f>
        <v>Básica</v>
      </c>
      <c r="L14" s="5"/>
      <c r="M14" s="5"/>
      <c r="N14" s="5" t="s">
        <v>35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7" t="str" cm="1">
        <f t="array" ref="BS14">_xlfn.XLOOKUP("X",TablaAdaptacionporasignatura[[#This Row],[27448]:[Aux16]],TablaAdaptacionporasignatura[[#Headers],[27448]:[Aux16]],"")</f>
        <v>27447</v>
      </c>
      <c r="BT14" s="7" t="str" cm="1">
        <f t="array" ref="BT14">_xlfn.XLOOKUP("Y1",TablaAdaptacionporasignatura[[#This Row],[27448]:[Aux16]],TablaAdaptacionporasignatura[[#Headers],[27448]:[Aux16]],"")</f>
        <v/>
      </c>
      <c r="BU14" s="7" t="str" cm="1">
        <f t="array" ref="BU14">_xlfn.XLOOKUP("Y2",TablaAdaptacionporasignatura[[#This Row],[27448]:[Aux16]],TablaAdaptacionporasignatura[[#Headers],[27448]:[Aux16]],"")</f>
        <v/>
      </c>
      <c r="BV14" s="7" t="str" cm="1">
        <f t="array" ref="BV14">_xlfn.XLOOKUP("Y3",TablaAdaptacionporasignatura[[#This Row],[27448]:[Aux16]],TablaAdaptacionporasignatura[[#Headers],[27448]:[Aux16]],"")</f>
        <v/>
      </c>
      <c r="BW14" s="7" t="str" cm="1">
        <f t="array" ref="BW14">_xlfn.XLOOKUP("Y4",TablaAdaptacionporasignatura[[#This Row],[27448]:[Aux16]],TablaAdaptacionporasignatura[[#Headers],[27448]:[Aux16]],"")</f>
        <v/>
      </c>
      <c r="BX14" s="7" t="str" cm="1">
        <f t="array" ref="BX14">_xlfn.XLOOKUP("O1",TablaAdaptacionporasignatura[[#This Row],[27448]:[Aux16]],TablaAdaptacionporasignatura[[#Headers],[27448]:[Aux16]],"")</f>
        <v/>
      </c>
      <c r="BY14" s="5" t="str" cm="1">
        <f t="array" ref="BY14">_xlfn.XLOOKUP("O2",TablaAdaptacionporasignatura[[#This Row],[27448]:[Aux16]],TablaAdaptacionporasignatura[[#Headers],[27448]:[Aux16]],"")</f>
        <v/>
      </c>
      <c r="BZ14" s="5" t="str" cm="1">
        <f t="array" ref="BZ14">_xlfn.XLOOKUP("O3",TablaAdaptacionporasignatura[[#This Row],[27448]:[Aux16]],TablaAdaptacionporasignatura[[#Headers],[27448]:[Aux16]],"")</f>
        <v/>
      </c>
      <c r="CA14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14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14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14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14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14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14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14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14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15" spans="3:87" x14ac:dyDescent="0.2">
      <c r="C15">
        <v>8</v>
      </c>
      <c r="D15" s="5" t="str">
        <f>_xlfn.XLOOKUP(TablaAdaptacionporasignatura[[#This Row],[ID Asig]],TablaDestino[ID Asig],TablaDestino[Módulo])</f>
        <v>Formación Básica</v>
      </c>
      <c r="E15" t="str">
        <f>_xlfn.XLOOKUP(TablaAdaptacionporasignatura[[#This Row],[ID Asig]],TablaDestino[ID Asig],TablaDestino[ID Modulo])</f>
        <v>M1</v>
      </c>
      <c r="F15" s="30" t="s">
        <v>161</v>
      </c>
      <c r="G15" s="5" t="str">
        <f>_xlfn.XLOOKUP(TablaAdaptacionporasignatura[[#This Row],[ID Asig]],TablaDestino[ID Asig],TablaDestino[Asignatura])</f>
        <v>Álgebra</v>
      </c>
      <c r="H15" s="5">
        <f>_xlfn.XLOOKUP(TablaAdaptacionporasignatura[[#This Row],[ID Asig]],TablaDestino[ID Asig],TablaDestino[Curso])</f>
        <v>1</v>
      </c>
      <c r="I15" s="5">
        <f>_xlfn.XLOOKUP(TablaAdaptacionporasignatura[[#This Row],[ID Asig]],TablaDestino[ID Asig],TablaDestino[Cuatr])</f>
        <v>2</v>
      </c>
      <c r="J15" s="5">
        <f>_xlfn.XLOOKUP(TablaAdaptacionporasignatura[[#This Row],[ID Asig]],TablaDestino[ID Asig],TablaDestino[ECTS])</f>
        <v>6</v>
      </c>
      <c r="K15" s="5" t="str">
        <f>_xlfn.XLOOKUP(TablaAdaptacionporasignatura[[#This Row],[ID Asig]],TablaDestino[ID Asig],TablaDestino[Tipo])</f>
        <v>Básica</v>
      </c>
      <c r="L15" s="5"/>
      <c r="M15" s="5"/>
      <c r="N15" s="5"/>
      <c r="O15" s="5" t="s">
        <v>35</v>
      </c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7" t="str" cm="1">
        <f t="array" ref="BS15">_xlfn.XLOOKUP("X",TablaAdaptacionporasignatura[[#This Row],[27448]:[Aux16]],TablaAdaptacionporasignatura[[#Headers],[27448]:[Aux16]],"")</f>
        <v>27445</v>
      </c>
      <c r="BT15" s="7" t="str" cm="1">
        <f t="array" ref="BT15">_xlfn.XLOOKUP("Y1",TablaAdaptacionporasignatura[[#This Row],[27448]:[Aux16]],TablaAdaptacionporasignatura[[#Headers],[27448]:[Aux16]],"")</f>
        <v/>
      </c>
      <c r="BU15" s="7" t="str" cm="1">
        <f t="array" ref="BU15">_xlfn.XLOOKUP("Y2",TablaAdaptacionporasignatura[[#This Row],[27448]:[Aux16]],TablaAdaptacionporasignatura[[#Headers],[27448]:[Aux16]],"")</f>
        <v/>
      </c>
      <c r="BV15" s="7" t="str" cm="1">
        <f t="array" ref="BV15">_xlfn.XLOOKUP("Y3",TablaAdaptacionporasignatura[[#This Row],[27448]:[Aux16]],TablaAdaptacionporasignatura[[#Headers],[27448]:[Aux16]],"")</f>
        <v/>
      </c>
      <c r="BW15" s="7" t="str" cm="1">
        <f t="array" ref="BW15">_xlfn.XLOOKUP("Y4",TablaAdaptacionporasignatura[[#This Row],[27448]:[Aux16]],TablaAdaptacionporasignatura[[#Headers],[27448]:[Aux16]],"")</f>
        <v/>
      </c>
      <c r="BX15" s="7" t="str" cm="1">
        <f t="array" ref="BX15">_xlfn.XLOOKUP("O1",TablaAdaptacionporasignatura[[#This Row],[27448]:[Aux16]],TablaAdaptacionporasignatura[[#Headers],[27448]:[Aux16]],"")</f>
        <v/>
      </c>
      <c r="BY15" s="5" t="str" cm="1">
        <f t="array" ref="BY15">_xlfn.XLOOKUP("O2",TablaAdaptacionporasignatura[[#This Row],[27448]:[Aux16]],TablaAdaptacionporasignatura[[#Headers],[27448]:[Aux16]],"")</f>
        <v/>
      </c>
      <c r="BZ15" s="5" t="str" cm="1">
        <f t="array" ref="BZ15">_xlfn.XLOOKUP("O3",TablaAdaptacionporasignatura[[#This Row],[27448]:[Aux16]],TablaAdaptacionporasignatura[[#Headers],[27448]:[Aux16]],"")</f>
        <v/>
      </c>
      <c r="CA15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15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15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15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15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15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15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15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15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16" spans="3:87" x14ac:dyDescent="0.2">
      <c r="C16">
        <v>9</v>
      </c>
      <c r="D16" s="5" t="str">
        <f>_xlfn.XLOOKUP(TablaAdaptacionporasignatura[[#This Row],[ID Asig]],TablaDestino[ID Asig],TablaDestino[Módulo])</f>
        <v>Formación Básica</v>
      </c>
      <c r="E16" t="str">
        <f>_xlfn.XLOOKUP(TablaAdaptacionporasignatura[[#This Row],[ID Asig]],TablaDestino[ID Asig],TablaDestino[ID Modulo])</f>
        <v>M1</v>
      </c>
      <c r="F16" s="30" t="s">
        <v>162</v>
      </c>
      <c r="G16" s="5" t="str">
        <f>_xlfn.XLOOKUP(TablaAdaptacionporasignatura[[#This Row],[ID Asig]],TablaDestino[ID Asig],TablaDestino[Asignatura])</f>
        <v>Calculo</v>
      </c>
      <c r="H16" s="5">
        <f>_xlfn.XLOOKUP(TablaAdaptacionporasignatura[[#This Row],[ID Asig]],TablaDestino[ID Asig],TablaDestino[Curso])</f>
        <v>1</v>
      </c>
      <c r="I16" s="5">
        <f>_xlfn.XLOOKUP(TablaAdaptacionporasignatura[[#This Row],[ID Asig]],TablaDestino[ID Asig],TablaDestino[Cuatr])</f>
        <v>1</v>
      </c>
      <c r="J16" s="5">
        <f>_xlfn.XLOOKUP(TablaAdaptacionporasignatura[[#This Row],[ID Asig]],TablaDestino[ID Asig],TablaDestino[ECTS])</f>
        <v>6</v>
      </c>
      <c r="K16" s="5" t="str">
        <f>_xlfn.XLOOKUP(TablaAdaptacionporasignatura[[#This Row],[ID Asig]],TablaDestino[ID Asig],TablaDestino[Tipo])</f>
        <v>Básica</v>
      </c>
      <c r="L16" s="5"/>
      <c r="M16" s="5"/>
      <c r="N16" s="5"/>
      <c r="O16" s="5"/>
      <c r="P16" s="5"/>
      <c r="Q16" s="5"/>
      <c r="R16" s="5" t="s">
        <v>35</v>
      </c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7" t="str" cm="1">
        <f t="array" ref="BS16">_xlfn.XLOOKUP("X",TablaAdaptacionporasignatura[[#This Row],[27448]:[Aux16]],TablaAdaptacionporasignatura[[#Headers],[27448]:[Aux16]],"")</f>
        <v>27446</v>
      </c>
      <c r="BT16" s="7" t="str" cm="1">
        <f t="array" ref="BT16">_xlfn.XLOOKUP("Y1",TablaAdaptacionporasignatura[[#This Row],[27448]:[Aux16]],TablaAdaptacionporasignatura[[#Headers],[27448]:[Aux16]],"")</f>
        <v/>
      </c>
      <c r="BU16" s="7" t="str" cm="1">
        <f t="array" ref="BU16">_xlfn.XLOOKUP("Y2",TablaAdaptacionporasignatura[[#This Row],[27448]:[Aux16]],TablaAdaptacionporasignatura[[#Headers],[27448]:[Aux16]],"")</f>
        <v/>
      </c>
      <c r="BV16" s="7" t="str" cm="1">
        <f t="array" ref="BV16">_xlfn.XLOOKUP("Y3",TablaAdaptacionporasignatura[[#This Row],[27448]:[Aux16]],TablaAdaptacionporasignatura[[#Headers],[27448]:[Aux16]],"")</f>
        <v/>
      </c>
      <c r="BW16" s="7" t="str" cm="1">
        <f t="array" ref="BW16">_xlfn.XLOOKUP("Y4",TablaAdaptacionporasignatura[[#This Row],[27448]:[Aux16]],TablaAdaptacionporasignatura[[#Headers],[27448]:[Aux16]],"")</f>
        <v/>
      </c>
      <c r="BX16" s="7" t="str" cm="1">
        <f t="array" ref="BX16">_xlfn.XLOOKUP("O1",TablaAdaptacionporasignatura[[#This Row],[27448]:[Aux16]],TablaAdaptacionporasignatura[[#Headers],[27448]:[Aux16]],"")</f>
        <v/>
      </c>
      <c r="BY16" s="5" t="str" cm="1">
        <f t="array" ref="BY16">_xlfn.XLOOKUP("O2",TablaAdaptacionporasignatura[[#This Row],[27448]:[Aux16]],TablaAdaptacionporasignatura[[#Headers],[27448]:[Aux16]],"")</f>
        <v/>
      </c>
      <c r="BZ16" s="5" t="str" cm="1">
        <f t="array" ref="BZ16">_xlfn.XLOOKUP("O3",TablaAdaptacionporasignatura[[#This Row],[27448]:[Aux16]],TablaAdaptacionporasignatura[[#Headers],[27448]:[Aux16]],"")</f>
        <v/>
      </c>
      <c r="CA16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16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16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16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16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16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16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16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16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17" spans="3:87" x14ac:dyDescent="0.2">
      <c r="C17">
        <v>10</v>
      </c>
      <c r="D17" s="5" t="str">
        <f>_xlfn.XLOOKUP(TablaAdaptacionporasignatura[[#This Row],[ID Asig]],TablaDestino[ID Asig],TablaDestino[Módulo])</f>
        <v>Formación Básica</v>
      </c>
      <c r="E17" t="str">
        <f>_xlfn.XLOOKUP(TablaAdaptacionporasignatura[[#This Row],[ID Asig]],TablaDestino[ID Asig],TablaDestino[ID Modulo])</f>
        <v>M1</v>
      </c>
      <c r="F17" s="30" t="s">
        <v>164</v>
      </c>
      <c r="G17" s="5" t="str">
        <f>_xlfn.XLOOKUP(TablaAdaptacionporasignatura[[#This Row],[ID Asig]],TablaDestino[ID Asig],TablaDestino[Asignatura])</f>
        <v>Fundamentos aplicados de matemáticas</v>
      </c>
      <c r="H17" s="5">
        <f>_xlfn.XLOOKUP(TablaAdaptacionporasignatura[[#This Row],[ID Asig]],TablaDestino[ID Asig],TablaDestino[Curso])</f>
        <v>1</v>
      </c>
      <c r="I17" s="5">
        <f>_xlfn.XLOOKUP(TablaAdaptacionporasignatura[[#This Row],[ID Asig]],TablaDestino[ID Asig],TablaDestino[Cuatr])</f>
        <v>2</v>
      </c>
      <c r="J17" s="5">
        <f>_xlfn.XLOOKUP(TablaAdaptacionporasignatura[[#This Row],[ID Asig]],TablaDestino[ID Asig],TablaDestino[ECTS])</f>
        <v>6</v>
      </c>
      <c r="K17" s="5" t="str">
        <f>_xlfn.XLOOKUP(TablaAdaptacionporasignatura[[#This Row],[ID Asig]],TablaDestino[ID Asig],TablaDestino[Tipo])</f>
        <v>Básica</v>
      </c>
      <c r="L17" s="5"/>
      <c r="M17" s="5"/>
      <c r="N17" s="5"/>
      <c r="O17" s="5" t="s">
        <v>35</v>
      </c>
      <c r="P17" s="5"/>
      <c r="Q17" s="5"/>
      <c r="R17" s="5" t="s">
        <v>279</v>
      </c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7" t="str" cm="1">
        <f t="array" ref="BS17">_xlfn.XLOOKUP("X",TablaAdaptacionporasignatura[[#This Row],[27448]:[Aux16]],TablaAdaptacionporasignatura[[#Headers],[27448]:[Aux16]],"")</f>
        <v>27445</v>
      </c>
      <c r="BT17" s="7" t="str" cm="1">
        <f t="array" ref="BT17">_xlfn.XLOOKUP("Y1",TablaAdaptacionporasignatura[[#This Row],[27448]:[Aux16]],TablaAdaptacionporasignatura[[#Headers],[27448]:[Aux16]],"")</f>
        <v>27446</v>
      </c>
      <c r="BU17" s="7" t="str" cm="1">
        <f t="array" ref="BU17">_xlfn.XLOOKUP("Y2",TablaAdaptacionporasignatura[[#This Row],[27448]:[Aux16]],TablaAdaptacionporasignatura[[#Headers],[27448]:[Aux16]],"")</f>
        <v/>
      </c>
      <c r="BV17" s="7" t="str" cm="1">
        <f t="array" ref="BV17">_xlfn.XLOOKUP("Y3",TablaAdaptacionporasignatura[[#This Row],[27448]:[Aux16]],TablaAdaptacionporasignatura[[#Headers],[27448]:[Aux16]],"")</f>
        <v/>
      </c>
      <c r="BW17" s="7" t="str" cm="1">
        <f t="array" ref="BW17">_xlfn.XLOOKUP("Y4",TablaAdaptacionporasignatura[[#This Row],[27448]:[Aux16]],TablaAdaptacionporasignatura[[#Headers],[27448]:[Aux16]],"")</f>
        <v/>
      </c>
      <c r="BX17" s="7" t="str" cm="1">
        <f t="array" ref="BX17">_xlfn.XLOOKUP("O1",TablaAdaptacionporasignatura[[#This Row],[27448]:[Aux16]],TablaAdaptacionporasignatura[[#Headers],[27448]:[Aux16]],"")</f>
        <v/>
      </c>
      <c r="BY17" s="5" t="str" cm="1">
        <f t="array" ref="BY17">_xlfn.XLOOKUP("O2",TablaAdaptacionporasignatura[[#This Row],[27448]:[Aux16]],TablaAdaptacionporasignatura[[#Headers],[27448]:[Aux16]],"")</f>
        <v/>
      </c>
      <c r="BZ17" s="5" t="str" cm="1">
        <f t="array" ref="BZ17">_xlfn.XLOOKUP("O3",TablaAdaptacionporasignatura[[#This Row],[27448]:[Aux16]],TablaAdaptacionporasignatura[[#Headers],[27448]:[Aux16]],"")</f>
        <v/>
      </c>
      <c r="CA17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17" s="5" t="str">
        <f>IF(TablaAdaptacionporasignatura[[#This Row],[Asignatura Secundaria Y1]]="","",_xlfn.XLOOKUP(VALUE(TablaAdaptacionporasignatura[[#This Row],[Asignatura Secundaria Y1]]),TablaOrigen[Cod. As.],TablaOrigen[Asignatura a procesar?],""))</f>
        <v>NO</v>
      </c>
      <c r="CC17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17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17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17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17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17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17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18" spans="3:87" x14ac:dyDescent="0.2">
      <c r="C18">
        <v>11</v>
      </c>
      <c r="D18" s="5" t="str">
        <f>_xlfn.XLOOKUP(TablaAdaptacionporasignatura[[#This Row],[ID Asig]],TablaDestino[ID Asig],TablaDestino[Módulo])</f>
        <v>Formación común a la rama Náutico-Marina</v>
      </c>
      <c r="E18" t="str">
        <f>_xlfn.XLOOKUP(TablaAdaptacionporasignatura[[#This Row],[ID Asig]],TablaDestino[ID Asig],TablaDestino[ID Modulo])</f>
        <v>M2</v>
      </c>
      <c r="F18" s="30" t="s">
        <v>8</v>
      </c>
      <c r="G18" s="5" t="str">
        <f>_xlfn.XLOOKUP(TablaAdaptacionporasignatura[[#This Row],[ID Asig]],TablaDestino[ID Asig],TablaDestino[Asignatura])</f>
        <v>Supervivencia y Lucha Contra Incendios</v>
      </c>
      <c r="H18" s="5">
        <f>_xlfn.XLOOKUP(TablaAdaptacionporasignatura[[#This Row],[ID Asig]],TablaDestino[ID Asig],TablaDestino[Curso])</f>
        <v>2</v>
      </c>
      <c r="I18" s="5">
        <f>_xlfn.XLOOKUP(TablaAdaptacionporasignatura[[#This Row],[ID Asig]],TablaDestino[ID Asig],TablaDestino[Cuatr])</f>
        <v>2</v>
      </c>
      <c r="J18" s="5">
        <f>_xlfn.XLOOKUP(TablaAdaptacionporasignatura[[#This Row],[ID Asig]],TablaDestino[ID Asig],TablaDestino[ECTS])</f>
        <v>6</v>
      </c>
      <c r="K18" s="5" t="str">
        <f>_xlfn.XLOOKUP(TablaAdaptacionporasignatura[[#This Row],[ID Asig]],TablaDestino[ID Asig],TablaDestino[Tipo])</f>
        <v>Obligatoria</v>
      </c>
      <c r="L18" s="5"/>
      <c r="M18" s="5"/>
      <c r="N18" s="5" t="s">
        <v>35</v>
      </c>
      <c r="O18" s="5"/>
      <c r="P18" s="5"/>
      <c r="Q18" s="5"/>
      <c r="R18" s="5"/>
      <c r="S18" s="5"/>
      <c r="T18" s="5"/>
      <c r="U18" s="5"/>
      <c r="V18" s="5"/>
      <c r="W18" s="5" t="s">
        <v>279</v>
      </c>
      <c r="X18" s="5" t="s">
        <v>280</v>
      </c>
      <c r="Y18" s="5"/>
      <c r="Z18" s="5"/>
      <c r="AA18" s="5"/>
      <c r="AB18" s="5"/>
      <c r="AC18" s="5" t="s">
        <v>281</v>
      </c>
      <c r="AD18" s="5"/>
      <c r="AE18" s="5"/>
      <c r="AF18" s="5"/>
      <c r="AG18" s="5"/>
      <c r="AH18" s="5"/>
      <c r="AI18" s="5"/>
      <c r="AJ18" s="5"/>
      <c r="AK18" s="5" t="s">
        <v>282</v>
      </c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7" t="str" cm="1">
        <f t="array" ref="BS18">_xlfn.XLOOKUP("X",TablaAdaptacionporasignatura[[#This Row],[27448]:[Aux16]],TablaAdaptacionporasignatura[[#Headers],[27448]:[Aux16]],"")</f>
        <v>27447</v>
      </c>
      <c r="BT18" s="7" t="str" cm="1">
        <f t="array" ref="BT18">_xlfn.XLOOKUP("Y1",TablaAdaptacionporasignatura[[#This Row],[27448]:[Aux16]],TablaAdaptacionporasignatura[[#Headers],[27448]:[Aux16]],"")</f>
        <v>27456</v>
      </c>
      <c r="BU18" s="7" t="str" cm="1">
        <f t="array" ref="BU18">_xlfn.XLOOKUP("Y2",TablaAdaptacionporasignatura[[#This Row],[27448]:[Aux16]],TablaAdaptacionporasignatura[[#Headers],[27448]:[Aux16]],"")</f>
        <v>27453</v>
      </c>
      <c r="BV18" s="7" t="str" cm="1">
        <f t="array" ref="BV18">_xlfn.XLOOKUP("Y3",TablaAdaptacionporasignatura[[#This Row],[27448]:[Aux16]],TablaAdaptacionporasignatura[[#Headers],[27448]:[Aux16]],"")</f>
        <v>27455</v>
      </c>
      <c r="BW18" s="7" t="str" cm="1">
        <f t="array" ref="BW18">_xlfn.XLOOKUP("Y4",TablaAdaptacionporasignatura[[#This Row],[27448]:[Aux16]],TablaAdaptacionporasignatura[[#Headers],[27448]:[Aux16]],"")</f>
        <v>27489</v>
      </c>
      <c r="BX18" s="7" t="str" cm="1">
        <f t="array" ref="BX18">_xlfn.XLOOKUP("O1",TablaAdaptacionporasignatura[[#This Row],[27448]:[Aux16]],TablaAdaptacionporasignatura[[#Headers],[27448]:[Aux16]],"")</f>
        <v/>
      </c>
      <c r="BY18" s="5" t="str" cm="1">
        <f t="array" ref="BY18">_xlfn.XLOOKUP("O2",TablaAdaptacionporasignatura[[#This Row],[27448]:[Aux16]],TablaAdaptacionporasignatura[[#Headers],[27448]:[Aux16]],"")</f>
        <v/>
      </c>
      <c r="BZ18" s="5" t="str" cm="1">
        <f t="array" ref="BZ18">_xlfn.XLOOKUP("O3",TablaAdaptacionporasignatura[[#This Row],[27448]:[Aux16]],TablaAdaptacionporasignatura[[#Headers],[27448]:[Aux16]],"")</f>
        <v/>
      </c>
      <c r="CA18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18" s="5" t="str">
        <f>IF(TablaAdaptacionporasignatura[[#This Row],[Asignatura Secundaria Y1]]="","",_xlfn.XLOOKUP(VALUE(TablaAdaptacionporasignatura[[#This Row],[Asignatura Secundaria Y1]]),TablaOrigen[Cod. As.],TablaOrigen[Asignatura a procesar?],""))</f>
        <v>NO</v>
      </c>
      <c r="CC18" s="5" t="str">
        <f>IF(TablaAdaptacionporasignatura[[#This Row],[Asignatura Secundaria Y2]]="","",_xlfn.XLOOKUP(VALUE(TablaAdaptacionporasignatura[[#This Row],[Asignatura Secundaria Y2]]),TablaOrigen[Cod. As.],TablaOrigen[Asignatura a procesar?],""))</f>
        <v>NO</v>
      </c>
      <c r="CD18" s="5" t="str">
        <f>IF(TablaAdaptacionporasignatura[[#This Row],[Asignatura Secundaria Y3]]="","",_xlfn.XLOOKUP(VALUE(TablaAdaptacionporasignatura[[#This Row],[Asignatura Secundaria Y3]]),TablaOrigen[Cod. As.],TablaOrigen[Asignatura a procesar?],""))</f>
        <v>NO</v>
      </c>
      <c r="CE18" s="5" t="str">
        <f>IF(TablaAdaptacionporasignatura[[#This Row],[Asignatura Secundaria  Y4]]="","",_xlfn.XLOOKUP(VALUE(TablaAdaptacionporasignatura[[#This Row],[Asignatura Secundaria  Y4]]),TablaOrigen[Cod. As.],TablaOrigen[Asignatura a procesar?],""))</f>
        <v>NO</v>
      </c>
      <c r="CF18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18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18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18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19" spans="3:87" x14ac:dyDescent="0.2">
      <c r="C19">
        <v>12</v>
      </c>
      <c r="D19" s="5" t="str">
        <f>_xlfn.XLOOKUP(TablaAdaptacionporasignatura[[#This Row],[ID Asig]],TablaDestino[ID Asig],TablaDestino[Módulo])</f>
        <v>Formación común a la rama Náutico-Marina</v>
      </c>
      <c r="E19" t="str">
        <f>_xlfn.XLOOKUP(TablaAdaptacionporasignatura[[#This Row],[ID Asig]],TablaDestino[ID Asig],TablaDestino[ID Modulo])</f>
        <v>M2</v>
      </c>
      <c r="F19" s="30" t="s">
        <v>6</v>
      </c>
      <c r="G19" s="5" t="str">
        <f>_xlfn.XLOOKUP(TablaAdaptacionporasignatura[[#This Row],[ID Asig]],TablaDestino[ID Asig],TablaDestino[Asignatura])</f>
        <v xml:space="preserve">Seguridad del Buque y Prevención de la Contaminación </v>
      </c>
      <c r="H19" s="5">
        <f>_xlfn.XLOOKUP(TablaAdaptacionporasignatura[[#This Row],[ID Asig]],TablaDestino[ID Asig],TablaDestino[Curso])</f>
        <v>2</v>
      </c>
      <c r="I19" s="5">
        <f>_xlfn.XLOOKUP(TablaAdaptacionporasignatura[[#This Row],[ID Asig]],TablaDestino[ID Asig],TablaDestino[Cuatr])</f>
        <v>1</v>
      </c>
      <c r="J19" s="5">
        <f>_xlfn.XLOOKUP(TablaAdaptacionporasignatura[[#This Row],[ID Asig]],TablaDestino[ID Asig],TablaDestino[ECTS])</f>
        <v>6</v>
      </c>
      <c r="K19" s="5" t="str">
        <f>_xlfn.XLOOKUP(TablaAdaptacionporasignatura[[#This Row],[ID Asig]],TablaDestino[ID Asig],TablaDestino[Tipo])</f>
        <v>Obligatoria</v>
      </c>
      <c r="L19" s="5"/>
      <c r="M19" s="5"/>
      <c r="N19" s="5" t="s">
        <v>35</v>
      </c>
      <c r="O19" s="5"/>
      <c r="P19" s="5"/>
      <c r="Q19" s="5"/>
      <c r="R19" s="5"/>
      <c r="S19" s="5"/>
      <c r="T19" s="5"/>
      <c r="U19" s="5"/>
      <c r="V19" s="5"/>
      <c r="W19" s="5" t="s">
        <v>279</v>
      </c>
      <c r="X19" t="s">
        <v>280</v>
      </c>
      <c r="Y19" s="5"/>
      <c r="Z19" s="5"/>
      <c r="AA19" s="5"/>
      <c r="AB19" s="5"/>
      <c r="AC19" s="5" t="s">
        <v>281</v>
      </c>
      <c r="AD19" s="5"/>
      <c r="AE19" s="5"/>
      <c r="AF19" s="5"/>
      <c r="AG19" s="5"/>
      <c r="AH19" s="5"/>
      <c r="AI19" s="5"/>
      <c r="AJ19" s="5"/>
      <c r="AK19" s="5" t="s">
        <v>282</v>
      </c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7" t="str" cm="1">
        <f t="array" ref="BS19">_xlfn.XLOOKUP("X",TablaAdaptacionporasignatura[[#This Row],[27448]:[Aux16]],TablaAdaptacionporasignatura[[#Headers],[27448]:[Aux16]],"")</f>
        <v>27447</v>
      </c>
      <c r="BT19" s="7" t="str" cm="1">
        <f t="array" ref="BT19">_xlfn.XLOOKUP("Y1",TablaAdaptacionporasignatura[[#This Row],[27448]:[Aux16]],TablaAdaptacionporasignatura[[#Headers],[27448]:[Aux16]],"")</f>
        <v>27456</v>
      </c>
      <c r="BU19" s="7" t="str" cm="1">
        <f t="array" ref="BU19">_xlfn.XLOOKUP("Y2",TablaAdaptacionporasignatura[[#This Row],[27448]:[Aux16]],TablaAdaptacionporasignatura[[#Headers],[27448]:[Aux16]],"")</f>
        <v>27453</v>
      </c>
      <c r="BV19" s="7" t="str" cm="1">
        <f t="array" ref="BV19">_xlfn.XLOOKUP("Y3",TablaAdaptacionporasignatura[[#This Row],[27448]:[Aux16]],TablaAdaptacionporasignatura[[#Headers],[27448]:[Aux16]],"")</f>
        <v>27455</v>
      </c>
      <c r="BW19" s="7" t="str" cm="1">
        <f t="array" ref="BW19">_xlfn.XLOOKUP("Y4",TablaAdaptacionporasignatura[[#This Row],[27448]:[Aux16]],TablaAdaptacionporasignatura[[#Headers],[27448]:[Aux16]],"")</f>
        <v>27489</v>
      </c>
      <c r="BX19" s="7" t="str" cm="1">
        <f t="array" ref="BX19">_xlfn.XLOOKUP("O1",TablaAdaptacionporasignatura[[#This Row],[27448]:[Aux16]],TablaAdaptacionporasignatura[[#Headers],[27448]:[Aux16]],"")</f>
        <v/>
      </c>
      <c r="BY19" s="5" t="str" cm="1">
        <f t="array" ref="BY19">_xlfn.XLOOKUP("O2",TablaAdaptacionporasignatura[[#This Row],[27448]:[Aux16]],TablaAdaptacionporasignatura[[#Headers],[27448]:[Aux16]],"")</f>
        <v/>
      </c>
      <c r="BZ19" s="5" t="str" cm="1">
        <f t="array" ref="BZ19">_xlfn.XLOOKUP("O3",TablaAdaptacionporasignatura[[#This Row],[27448]:[Aux16]],TablaAdaptacionporasignatura[[#Headers],[27448]:[Aux16]],"")</f>
        <v/>
      </c>
      <c r="CA19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19" s="5" t="str">
        <f>IF(TablaAdaptacionporasignatura[[#This Row],[Asignatura Secundaria Y1]]="","",_xlfn.XLOOKUP(VALUE(TablaAdaptacionporasignatura[[#This Row],[Asignatura Secundaria Y1]]),TablaOrigen[Cod. As.],TablaOrigen[Asignatura a procesar?],""))</f>
        <v>NO</v>
      </c>
      <c r="CC19" s="5" t="str">
        <f>IF(TablaAdaptacionporasignatura[[#This Row],[Asignatura Secundaria Y2]]="","",_xlfn.XLOOKUP(VALUE(TablaAdaptacionporasignatura[[#This Row],[Asignatura Secundaria Y2]]),TablaOrigen[Cod. As.],TablaOrigen[Asignatura a procesar?],""))</f>
        <v>NO</v>
      </c>
      <c r="CD19" s="5" t="str">
        <f>IF(TablaAdaptacionporasignatura[[#This Row],[Asignatura Secundaria Y3]]="","",_xlfn.XLOOKUP(VALUE(TablaAdaptacionporasignatura[[#This Row],[Asignatura Secundaria Y3]]),TablaOrigen[Cod. As.],TablaOrigen[Asignatura a procesar?],""))</f>
        <v>NO</v>
      </c>
      <c r="CE19" s="5" t="str">
        <f>IF(TablaAdaptacionporasignatura[[#This Row],[Asignatura Secundaria  Y4]]="","",_xlfn.XLOOKUP(VALUE(TablaAdaptacionporasignatura[[#This Row],[Asignatura Secundaria  Y4]]),TablaOrigen[Cod. As.],TablaOrigen[Asignatura a procesar?],""))</f>
        <v>NO</v>
      </c>
      <c r="CF19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19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19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19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20" spans="3:87" x14ac:dyDescent="0.2">
      <c r="C20">
        <v>13</v>
      </c>
      <c r="D20" s="5" t="str">
        <f>_xlfn.XLOOKUP(TablaAdaptacionporasignatura[[#This Row],[ID Asig]],TablaDestino[ID Asig],TablaDestino[Módulo])</f>
        <v>Formación común a la rama Náutico-Marina</v>
      </c>
      <c r="E20" t="str">
        <f>_xlfn.XLOOKUP(TablaAdaptacionporasignatura[[#This Row],[ID Asig]],TablaDestino[ID Asig],TablaDestino[ID Modulo])</f>
        <v>M2</v>
      </c>
      <c r="F20" s="30" t="s">
        <v>7</v>
      </c>
      <c r="G20" s="5" t="str">
        <f>_xlfn.XLOOKUP(TablaAdaptacionporasignatura[[#This Row],[ID Asig]],TablaDestino[ID Asig],TablaDestino[Asignatura])</f>
        <v>Sistemas Principales y Auxiliares del Buque</v>
      </c>
      <c r="H20" s="5">
        <f>_xlfn.XLOOKUP(TablaAdaptacionporasignatura[[#This Row],[ID Asig]],TablaDestino[ID Asig],TablaDestino[Curso])</f>
        <v>2</v>
      </c>
      <c r="I20" s="5">
        <f>_xlfn.XLOOKUP(TablaAdaptacionporasignatura[[#This Row],[ID Asig]],TablaDestino[ID Asig],TablaDestino[Cuatr])</f>
        <v>1</v>
      </c>
      <c r="J20" s="5">
        <f>_xlfn.XLOOKUP(TablaAdaptacionporasignatura[[#This Row],[ID Asig]],TablaDestino[ID Asig],TablaDestino[ECTS])</f>
        <v>6</v>
      </c>
      <c r="K20" s="5" t="str">
        <f>_xlfn.XLOOKUP(TablaAdaptacionporasignatura[[#This Row],[ID Asig]],TablaDestino[ID Asig],TablaDestino[Tipo])</f>
        <v>Obligatoria</v>
      </c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 t="s">
        <v>35</v>
      </c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7" t="str" cm="1">
        <f t="array" ref="BS20">_xlfn.XLOOKUP("X",TablaAdaptacionporasignatura[[#This Row],[27448]:[Aux16]],TablaAdaptacionporasignatura[[#Headers],[27448]:[Aux16]],"")</f>
        <v>27457</v>
      </c>
      <c r="BT20" s="7" t="str" cm="1">
        <f t="array" ref="BT20">_xlfn.XLOOKUP("Y1",TablaAdaptacionporasignatura[[#This Row],[27448]:[Aux16]],TablaAdaptacionporasignatura[[#Headers],[27448]:[Aux16]],"")</f>
        <v/>
      </c>
      <c r="BU20" s="7" t="str" cm="1">
        <f t="array" ref="BU20">_xlfn.XLOOKUP("Y2",TablaAdaptacionporasignatura[[#This Row],[27448]:[Aux16]],TablaAdaptacionporasignatura[[#Headers],[27448]:[Aux16]],"")</f>
        <v/>
      </c>
      <c r="BV20" s="7" t="str" cm="1">
        <f t="array" ref="BV20">_xlfn.XLOOKUP("Y3",TablaAdaptacionporasignatura[[#This Row],[27448]:[Aux16]],TablaAdaptacionporasignatura[[#Headers],[27448]:[Aux16]],"")</f>
        <v/>
      </c>
      <c r="BW20" s="7" t="str" cm="1">
        <f t="array" ref="BW20">_xlfn.XLOOKUP("Y4",TablaAdaptacionporasignatura[[#This Row],[27448]:[Aux16]],TablaAdaptacionporasignatura[[#Headers],[27448]:[Aux16]],"")</f>
        <v/>
      </c>
      <c r="BX20" s="7" t="str" cm="1">
        <f t="array" ref="BX20">_xlfn.XLOOKUP("O1",TablaAdaptacionporasignatura[[#This Row],[27448]:[Aux16]],TablaAdaptacionporasignatura[[#Headers],[27448]:[Aux16]],"")</f>
        <v/>
      </c>
      <c r="BY20" s="5" t="str" cm="1">
        <f t="array" ref="BY20">_xlfn.XLOOKUP("O2",TablaAdaptacionporasignatura[[#This Row],[27448]:[Aux16]],TablaAdaptacionporasignatura[[#Headers],[27448]:[Aux16]],"")</f>
        <v/>
      </c>
      <c r="BZ20" s="5" t="str" cm="1">
        <f t="array" ref="BZ20">_xlfn.XLOOKUP("O3",TablaAdaptacionporasignatura[[#This Row],[27448]:[Aux16]],TablaAdaptacionporasignatura[[#Headers],[27448]:[Aux16]],"")</f>
        <v/>
      </c>
      <c r="CA20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20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20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20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20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20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20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20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20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21" spans="3:87" x14ac:dyDescent="0.2">
      <c r="C21">
        <v>14</v>
      </c>
      <c r="D21" s="5" t="str">
        <f>_xlfn.XLOOKUP(TablaAdaptacionporasignatura[[#This Row],[ID Asig]],TablaDestino[ID Asig],TablaDestino[Módulo])</f>
        <v>Formación común a la rama Náutico-Marina</v>
      </c>
      <c r="E21" t="str">
        <f>_xlfn.XLOOKUP(TablaAdaptacionporasignatura[[#This Row],[ID Asig]],TablaDestino[ID Asig],TablaDestino[ID Modulo])</f>
        <v>M2</v>
      </c>
      <c r="F21" s="30" t="s">
        <v>10</v>
      </c>
      <c r="G21" s="5" t="str">
        <f>_xlfn.XLOOKUP(TablaAdaptacionporasignatura[[#This Row],[ID Asig]],TablaDestino[ID Asig],TablaDestino[Asignatura])</f>
        <v>Teoría del Buque y Construcción Naval</v>
      </c>
      <c r="H21" s="5">
        <f>_xlfn.XLOOKUP(TablaAdaptacionporasignatura[[#This Row],[ID Asig]],TablaDestino[ID Asig],TablaDestino[Curso])</f>
        <v>2</v>
      </c>
      <c r="I21" s="5">
        <f>_xlfn.XLOOKUP(TablaAdaptacionporasignatura[[#This Row],[ID Asig]],TablaDestino[ID Asig],TablaDestino[Cuatr])</f>
        <v>1</v>
      </c>
      <c r="J21" s="5">
        <f>_xlfn.XLOOKUP(TablaAdaptacionporasignatura[[#This Row],[ID Asig]],TablaDestino[ID Asig],TablaDestino[ECTS])</f>
        <v>6</v>
      </c>
      <c r="K21" s="5" t="str">
        <f>_xlfn.XLOOKUP(TablaAdaptacionporasignatura[[#This Row],[ID Asig]],TablaDestino[ID Asig],TablaDestino[Tipo])</f>
        <v>Obligatoria</v>
      </c>
      <c r="L21" s="5"/>
      <c r="M21" s="5"/>
      <c r="N21" s="5"/>
      <c r="O21" s="5"/>
      <c r="P21" s="5"/>
      <c r="Q21" s="5"/>
      <c r="R21" s="5"/>
      <c r="S21" s="5"/>
      <c r="T21" s="5"/>
      <c r="U21" s="5"/>
      <c r="V21" s="5" t="s">
        <v>279</v>
      </c>
      <c r="W21" s="5" t="s">
        <v>35</v>
      </c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7" t="str" cm="1">
        <f t="array" ref="BS21">_xlfn.XLOOKUP("X",TablaAdaptacionporasignatura[[#This Row],[27448]:[Aux16]],TablaAdaptacionporasignatura[[#Headers],[27448]:[Aux16]],"")</f>
        <v>27456</v>
      </c>
      <c r="BT21" s="7" t="str" cm="1">
        <f t="array" ref="BT21">_xlfn.XLOOKUP("Y1",TablaAdaptacionporasignatura[[#This Row],[27448]:[Aux16]],TablaAdaptacionporasignatura[[#Headers],[27448]:[Aux16]],"")</f>
        <v>27450</v>
      </c>
      <c r="BU21" s="7" t="str" cm="1">
        <f t="array" ref="BU21">_xlfn.XLOOKUP("Y2",TablaAdaptacionporasignatura[[#This Row],[27448]:[Aux16]],TablaAdaptacionporasignatura[[#Headers],[27448]:[Aux16]],"")</f>
        <v/>
      </c>
      <c r="BV21" s="7" t="str" cm="1">
        <f t="array" ref="BV21">_xlfn.XLOOKUP("Y3",TablaAdaptacionporasignatura[[#This Row],[27448]:[Aux16]],TablaAdaptacionporasignatura[[#Headers],[27448]:[Aux16]],"")</f>
        <v/>
      </c>
      <c r="BW21" s="7" t="str" cm="1">
        <f t="array" ref="BW21">_xlfn.XLOOKUP("Y4",TablaAdaptacionporasignatura[[#This Row],[27448]:[Aux16]],TablaAdaptacionporasignatura[[#Headers],[27448]:[Aux16]],"")</f>
        <v/>
      </c>
      <c r="BX21" s="7" t="str" cm="1">
        <f t="array" ref="BX21">_xlfn.XLOOKUP("O1",TablaAdaptacionporasignatura[[#This Row],[27448]:[Aux16]],TablaAdaptacionporasignatura[[#Headers],[27448]:[Aux16]],"")</f>
        <v/>
      </c>
      <c r="BY21" s="5" t="str" cm="1">
        <f t="array" ref="BY21">_xlfn.XLOOKUP("O2",TablaAdaptacionporasignatura[[#This Row],[27448]:[Aux16]],TablaAdaptacionporasignatura[[#Headers],[27448]:[Aux16]],"")</f>
        <v/>
      </c>
      <c r="BZ21" s="5" t="str" cm="1">
        <f t="array" ref="BZ21">_xlfn.XLOOKUP("O3",TablaAdaptacionporasignatura[[#This Row],[27448]:[Aux16]],TablaAdaptacionporasignatura[[#Headers],[27448]:[Aux16]],"")</f>
        <v/>
      </c>
      <c r="CA21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21" s="5" t="str">
        <f>IF(TablaAdaptacionporasignatura[[#This Row],[Asignatura Secundaria Y1]]="","",_xlfn.XLOOKUP(VALUE(TablaAdaptacionporasignatura[[#This Row],[Asignatura Secundaria Y1]]),TablaOrigen[Cod. As.],TablaOrigen[Asignatura a procesar?],""))</f>
        <v>NO</v>
      </c>
      <c r="CC21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21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21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21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21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21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21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22" spans="3:87" x14ac:dyDescent="0.2">
      <c r="C22">
        <v>15</v>
      </c>
      <c r="D22" s="5" t="str">
        <f>_xlfn.XLOOKUP(TablaAdaptacionporasignatura[[#This Row],[ID Asig]],TablaDestino[ID Asig],TablaDestino[Módulo])</f>
        <v>Formación común a la rama Náutico-Marina</v>
      </c>
      <c r="E22" t="str">
        <f>_xlfn.XLOOKUP(TablaAdaptacionporasignatura[[#This Row],[ID Asig]],TablaDestino[ID Asig],TablaDestino[ID Modulo])</f>
        <v>M2</v>
      </c>
      <c r="F22" s="30" t="s">
        <v>11</v>
      </c>
      <c r="G22" s="5" t="str">
        <f>_xlfn.XLOOKUP(TablaAdaptacionporasignatura[[#This Row],[ID Asig]],TablaDestino[ID Asig],TablaDestino[Asignatura])</f>
        <v>Electrónica y Automática</v>
      </c>
      <c r="H22" s="5">
        <f>_xlfn.XLOOKUP(TablaAdaptacionporasignatura[[#This Row],[ID Asig]],TablaDestino[ID Asig],TablaDestino[Curso])</f>
        <v>2</v>
      </c>
      <c r="I22" s="5">
        <f>_xlfn.XLOOKUP(TablaAdaptacionporasignatura[[#This Row],[ID Asig]],TablaDestino[ID Asig],TablaDestino[Cuatr])</f>
        <v>1</v>
      </c>
      <c r="J22" s="5">
        <f>_xlfn.XLOOKUP(TablaAdaptacionporasignatura[[#This Row],[ID Asig]],TablaDestino[ID Asig],TablaDestino[ECTS])</f>
        <v>6</v>
      </c>
      <c r="K22" s="5" t="str">
        <f>_xlfn.XLOOKUP(TablaAdaptacionporasignatura[[#This Row],[ID Asig]],TablaDestino[ID Asig],TablaDestino[Tipo])</f>
        <v>Obligatoria</v>
      </c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 t="s">
        <v>35</v>
      </c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7" t="str" cm="1">
        <f t="array" ref="BS22">_xlfn.XLOOKUP("X",TablaAdaptacionporasignatura[[#This Row],[27448]:[Aux16]],TablaAdaptacionporasignatura[[#Headers],[27448]:[Aux16]],"")</f>
        <v>27459</v>
      </c>
      <c r="BT22" s="7" t="str" cm="1">
        <f t="array" ref="BT22">_xlfn.XLOOKUP("Y1",TablaAdaptacionporasignatura[[#This Row],[27448]:[Aux16]],TablaAdaptacionporasignatura[[#Headers],[27448]:[Aux16]],"")</f>
        <v/>
      </c>
      <c r="BU22" s="7" t="str" cm="1">
        <f t="array" ref="BU22">_xlfn.XLOOKUP("Y2",TablaAdaptacionporasignatura[[#This Row],[27448]:[Aux16]],TablaAdaptacionporasignatura[[#Headers],[27448]:[Aux16]],"")</f>
        <v/>
      </c>
      <c r="BV22" s="7" t="str" cm="1">
        <f t="array" ref="BV22">_xlfn.XLOOKUP("Y3",TablaAdaptacionporasignatura[[#This Row],[27448]:[Aux16]],TablaAdaptacionporasignatura[[#Headers],[27448]:[Aux16]],"")</f>
        <v/>
      </c>
      <c r="BW22" s="7" t="str" cm="1">
        <f t="array" ref="BW22">_xlfn.XLOOKUP("Y4",TablaAdaptacionporasignatura[[#This Row],[27448]:[Aux16]],TablaAdaptacionporasignatura[[#Headers],[27448]:[Aux16]],"")</f>
        <v/>
      </c>
      <c r="BX22" s="7" t="str" cm="1">
        <f t="array" ref="BX22">_xlfn.XLOOKUP("O1",TablaAdaptacionporasignatura[[#This Row],[27448]:[Aux16]],TablaAdaptacionporasignatura[[#Headers],[27448]:[Aux16]],"")</f>
        <v/>
      </c>
      <c r="BY22" s="5" t="str" cm="1">
        <f t="array" ref="BY22">_xlfn.XLOOKUP("O2",TablaAdaptacionporasignatura[[#This Row],[27448]:[Aux16]],TablaAdaptacionporasignatura[[#Headers],[27448]:[Aux16]],"")</f>
        <v/>
      </c>
      <c r="BZ22" s="5" t="str" cm="1">
        <f t="array" ref="BZ22">_xlfn.XLOOKUP("O3",TablaAdaptacionporasignatura[[#This Row],[27448]:[Aux16]],TablaAdaptacionporasignatura[[#Headers],[27448]:[Aux16]],"")</f>
        <v/>
      </c>
      <c r="CA22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22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22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22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22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22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22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22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22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23" spans="3:87" x14ac:dyDescent="0.2">
      <c r="C23">
        <v>16</v>
      </c>
      <c r="D23" s="5" t="str">
        <f>_xlfn.XLOOKUP(TablaAdaptacionporasignatura[[#This Row],[ID Asig]],TablaDestino[ID Asig],TablaDestino[Módulo])</f>
        <v>Formación común a la rama Náutico-Marina</v>
      </c>
      <c r="E23" t="str">
        <f>_xlfn.XLOOKUP(TablaAdaptacionporasignatura[[#This Row],[ID Asig]],TablaDestino[ID Asig],TablaDestino[ID Modulo])</f>
        <v>M2</v>
      </c>
      <c r="F23" s="30" t="s">
        <v>4</v>
      </c>
      <c r="G23" s="5" t="str">
        <f>_xlfn.XLOOKUP(TablaAdaptacionporasignatura[[#This Row],[ID Asig]],TablaDestino[ID Asig],TablaDestino[Asignatura])</f>
        <v>Electrotecnia marina</v>
      </c>
      <c r="H23" s="5">
        <f>_xlfn.XLOOKUP(TablaAdaptacionporasignatura[[#This Row],[ID Asig]],TablaDestino[ID Asig],TablaDestino[Curso])</f>
        <v>2</v>
      </c>
      <c r="I23" s="5">
        <f>_xlfn.XLOOKUP(TablaAdaptacionporasignatura[[#This Row],[ID Asig]],TablaDestino[ID Asig],TablaDestino[Cuatr])</f>
        <v>2</v>
      </c>
      <c r="J23" s="5">
        <f>_xlfn.XLOOKUP(TablaAdaptacionporasignatura[[#This Row],[ID Asig]],TablaDestino[ID Asig],TablaDestino[ECTS])</f>
        <v>6</v>
      </c>
      <c r="K23" s="5" t="str">
        <f>_xlfn.XLOOKUP(TablaAdaptacionporasignatura[[#This Row],[ID Asig]],TablaDestino[ID Asig],TablaDestino[Tipo])</f>
        <v>Obligatoria</v>
      </c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 t="s">
        <v>35</v>
      </c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7" t="str" cm="1">
        <f t="array" ref="BS23">_xlfn.XLOOKUP("X",TablaAdaptacionporasignatura[[#This Row],[27448]:[Aux16]],TablaAdaptacionporasignatura[[#Headers],[27448]:[Aux16]],"")</f>
        <v>27458</v>
      </c>
      <c r="BT23" s="7" t="str" cm="1">
        <f t="array" ref="BT23">_xlfn.XLOOKUP("Y1",TablaAdaptacionporasignatura[[#This Row],[27448]:[Aux16]],TablaAdaptacionporasignatura[[#Headers],[27448]:[Aux16]],"")</f>
        <v/>
      </c>
      <c r="BU23" s="7" t="str" cm="1">
        <f t="array" ref="BU23">_xlfn.XLOOKUP("Y2",TablaAdaptacionporasignatura[[#This Row],[27448]:[Aux16]],TablaAdaptacionporasignatura[[#Headers],[27448]:[Aux16]],"")</f>
        <v/>
      </c>
      <c r="BV23" s="7" t="str" cm="1">
        <f t="array" ref="BV23">_xlfn.XLOOKUP("Y3",TablaAdaptacionporasignatura[[#This Row],[27448]:[Aux16]],TablaAdaptacionporasignatura[[#Headers],[27448]:[Aux16]],"")</f>
        <v/>
      </c>
      <c r="BW23" s="7" t="str" cm="1">
        <f t="array" ref="BW23">_xlfn.XLOOKUP("Y4",TablaAdaptacionporasignatura[[#This Row],[27448]:[Aux16]],TablaAdaptacionporasignatura[[#Headers],[27448]:[Aux16]],"")</f>
        <v/>
      </c>
      <c r="BX23" s="7" t="str" cm="1">
        <f t="array" ref="BX23">_xlfn.XLOOKUP("O1",TablaAdaptacionporasignatura[[#This Row],[27448]:[Aux16]],TablaAdaptacionporasignatura[[#Headers],[27448]:[Aux16]],"")</f>
        <v/>
      </c>
      <c r="BY23" s="5" t="str" cm="1">
        <f t="array" ref="BY23">_xlfn.XLOOKUP("O2",TablaAdaptacionporasignatura[[#This Row],[27448]:[Aux16]],TablaAdaptacionporasignatura[[#Headers],[27448]:[Aux16]],"")</f>
        <v/>
      </c>
      <c r="BZ23" s="5" t="str" cm="1">
        <f t="array" ref="BZ23">_xlfn.XLOOKUP("O3",TablaAdaptacionporasignatura[[#This Row],[27448]:[Aux16]],TablaAdaptacionporasignatura[[#Headers],[27448]:[Aux16]],"")</f>
        <v/>
      </c>
      <c r="CA23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23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23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23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23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23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23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23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23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24" spans="3:87" x14ac:dyDescent="0.2">
      <c r="C24">
        <v>17</v>
      </c>
      <c r="D24" s="5" t="str">
        <f>_xlfn.XLOOKUP(TablaAdaptacionporasignatura[[#This Row],[ID Asig]],TablaDestino[ID Asig],TablaDestino[Módulo])</f>
        <v>Formación común a la rama Náutico-Marina</v>
      </c>
      <c r="E24" t="str">
        <f>_xlfn.XLOOKUP(TablaAdaptacionporasignatura[[#This Row],[ID Asig]],TablaDestino[ID Asig],TablaDestino[ID Modulo])</f>
        <v>M2</v>
      </c>
      <c r="F24" s="30" t="s">
        <v>9</v>
      </c>
      <c r="G24" s="5" t="str">
        <f>_xlfn.XLOOKUP(TablaAdaptacionporasignatura[[#This Row],[ID Asig]],TablaDestino[ID Asig],TablaDestino[Asignatura])</f>
        <v>Derecho Marítimo</v>
      </c>
      <c r="H24" s="5">
        <f>_xlfn.XLOOKUP(TablaAdaptacionporasignatura[[#This Row],[ID Asig]],TablaDestino[ID Asig],TablaDestino[Curso])</f>
        <v>2</v>
      </c>
      <c r="I24" s="5">
        <f>_xlfn.XLOOKUP(TablaAdaptacionporasignatura[[#This Row],[ID Asig]],TablaDestino[ID Asig],TablaDestino[Cuatr])</f>
        <v>1</v>
      </c>
      <c r="J24" s="5">
        <f>_xlfn.XLOOKUP(TablaAdaptacionporasignatura[[#This Row],[ID Asig]],TablaDestino[ID Asig],TablaDestino[ECTS])</f>
        <v>6</v>
      </c>
      <c r="K24" s="5" t="str">
        <f>_xlfn.XLOOKUP(TablaAdaptacionporasignatura[[#This Row],[ID Asig]],TablaDestino[ID Asig],TablaDestino[Tipo])</f>
        <v>Obligatoria</v>
      </c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 t="s">
        <v>35</v>
      </c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7" t="str" cm="1">
        <f t="array" ref="BS24">_xlfn.XLOOKUP("X",TablaAdaptacionporasignatura[[#This Row],[27448]:[Aux16]],TablaAdaptacionporasignatura[[#Headers],[27448]:[Aux16]],"")</f>
        <v>27454</v>
      </c>
      <c r="BT24" s="7" t="str" cm="1">
        <f t="array" ref="BT24">_xlfn.XLOOKUP("Y1",TablaAdaptacionporasignatura[[#This Row],[27448]:[Aux16]],TablaAdaptacionporasignatura[[#Headers],[27448]:[Aux16]],"")</f>
        <v/>
      </c>
      <c r="BU24" s="7" t="str" cm="1">
        <f t="array" ref="BU24">_xlfn.XLOOKUP("Y2",TablaAdaptacionporasignatura[[#This Row],[27448]:[Aux16]],TablaAdaptacionporasignatura[[#Headers],[27448]:[Aux16]],"")</f>
        <v/>
      </c>
      <c r="BV24" s="7" t="str" cm="1">
        <f t="array" ref="BV24">_xlfn.XLOOKUP("Y3",TablaAdaptacionporasignatura[[#This Row],[27448]:[Aux16]],TablaAdaptacionporasignatura[[#Headers],[27448]:[Aux16]],"")</f>
        <v/>
      </c>
      <c r="BW24" s="7" t="str" cm="1">
        <f t="array" ref="BW24">_xlfn.XLOOKUP("Y4",TablaAdaptacionporasignatura[[#This Row],[27448]:[Aux16]],TablaAdaptacionporasignatura[[#Headers],[27448]:[Aux16]],"")</f>
        <v/>
      </c>
      <c r="BX24" s="7" t="str" cm="1">
        <f t="array" ref="BX24">_xlfn.XLOOKUP("O1",TablaAdaptacionporasignatura[[#This Row],[27448]:[Aux16]],TablaAdaptacionporasignatura[[#Headers],[27448]:[Aux16]],"")</f>
        <v/>
      </c>
      <c r="BY24" s="5" t="str" cm="1">
        <f t="array" ref="BY24">_xlfn.XLOOKUP("O2",TablaAdaptacionporasignatura[[#This Row],[27448]:[Aux16]],TablaAdaptacionporasignatura[[#Headers],[27448]:[Aux16]],"")</f>
        <v/>
      </c>
      <c r="BZ24" s="5" t="str" cm="1">
        <f t="array" ref="BZ24">_xlfn.XLOOKUP("O3",TablaAdaptacionporasignatura[[#This Row],[27448]:[Aux16]],TablaAdaptacionporasignatura[[#Headers],[27448]:[Aux16]],"")</f>
        <v/>
      </c>
      <c r="CA24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24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24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24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24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24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24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24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24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25" spans="3:87" x14ac:dyDescent="0.2">
      <c r="C25">
        <v>18</v>
      </c>
      <c r="D25" s="5" t="str">
        <f>_xlfn.XLOOKUP(TablaAdaptacionporasignatura[[#This Row],[ID Asig]],TablaDestino[ID Asig],TablaDestino[Módulo])</f>
        <v>Formación común a la rama Náutico-Marina</v>
      </c>
      <c r="E25" t="str">
        <f>_xlfn.XLOOKUP(TablaAdaptacionporasignatura[[#This Row],[ID Asig]],TablaDestino[ID Asig],TablaDestino[ID Modulo])</f>
        <v>M2</v>
      </c>
      <c r="F25" s="30" t="s">
        <v>3</v>
      </c>
      <c r="G25" s="5" t="str">
        <f>_xlfn.XLOOKUP(TablaAdaptacionporasignatura[[#This Row],[ID Asig]],TablaDestino[ID Asig],TablaDestino[Asignatura])</f>
        <v>Medicina Marítima</v>
      </c>
      <c r="H25" s="5">
        <f>_xlfn.XLOOKUP(TablaAdaptacionporasignatura[[#This Row],[ID Asig]],TablaDestino[ID Asig],TablaDestino[Curso])</f>
        <v>2</v>
      </c>
      <c r="I25" s="5">
        <f>_xlfn.XLOOKUP(TablaAdaptacionporasignatura[[#This Row],[ID Asig]],TablaDestino[ID Asig],TablaDestino[Cuatr])</f>
        <v>2</v>
      </c>
      <c r="J25" s="5">
        <f>_xlfn.XLOOKUP(TablaAdaptacionporasignatura[[#This Row],[ID Asig]],TablaDestino[ID Asig],TablaDestino[ECTS])</f>
        <v>6</v>
      </c>
      <c r="K25" s="5" t="str">
        <f>_xlfn.XLOOKUP(TablaAdaptacionporasignatura[[#This Row],[ID Asig]],TablaDestino[ID Asig],TablaDestino[Tipo])</f>
        <v>Obligatoria</v>
      </c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 t="s">
        <v>35</v>
      </c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7" t="str" cm="1">
        <f t="array" ref="BS25">_xlfn.XLOOKUP("X",TablaAdaptacionporasignatura[[#This Row],[27448]:[Aux16]],TablaAdaptacionporasignatura[[#Headers],[27448]:[Aux16]],"")</f>
        <v>27455</v>
      </c>
      <c r="BT25" s="7" t="str" cm="1">
        <f t="array" ref="BT25">_xlfn.XLOOKUP("Y1",TablaAdaptacionporasignatura[[#This Row],[27448]:[Aux16]],TablaAdaptacionporasignatura[[#Headers],[27448]:[Aux16]],"")</f>
        <v/>
      </c>
      <c r="BU25" s="7" t="str" cm="1">
        <f t="array" ref="BU25">_xlfn.XLOOKUP("Y2",TablaAdaptacionporasignatura[[#This Row],[27448]:[Aux16]],TablaAdaptacionporasignatura[[#Headers],[27448]:[Aux16]],"")</f>
        <v/>
      </c>
      <c r="BV25" s="7" t="str" cm="1">
        <f t="array" ref="BV25">_xlfn.XLOOKUP("Y3",TablaAdaptacionporasignatura[[#This Row],[27448]:[Aux16]],TablaAdaptacionporasignatura[[#Headers],[27448]:[Aux16]],"")</f>
        <v/>
      </c>
      <c r="BW25" s="7" t="str" cm="1">
        <f t="array" ref="BW25">_xlfn.XLOOKUP("Y4",TablaAdaptacionporasignatura[[#This Row],[27448]:[Aux16]],TablaAdaptacionporasignatura[[#Headers],[27448]:[Aux16]],"")</f>
        <v/>
      </c>
      <c r="BX25" s="7" t="str" cm="1">
        <f t="array" ref="BX25">_xlfn.XLOOKUP("O1",TablaAdaptacionporasignatura[[#This Row],[27448]:[Aux16]],TablaAdaptacionporasignatura[[#Headers],[27448]:[Aux16]],"")</f>
        <v/>
      </c>
      <c r="BY25" s="5" t="str" cm="1">
        <f t="array" ref="BY25">_xlfn.XLOOKUP("O2",TablaAdaptacionporasignatura[[#This Row],[27448]:[Aux16]],TablaAdaptacionporasignatura[[#Headers],[27448]:[Aux16]],"")</f>
        <v/>
      </c>
      <c r="BZ25" s="5" t="str" cm="1">
        <f t="array" ref="BZ25">_xlfn.XLOOKUP("O3",TablaAdaptacionporasignatura[[#This Row],[27448]:[Aux16]],TablaAdaptacionporasignatura[[#Headers],[27448]:[Aux16]],"")</f>
        <v/>
      </c>
      <c r="CA25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25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25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25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25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25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25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25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25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26" spans="3:87" x14ac:dyDescent="0.2">
      <c r="C26">
        <v>19</v>
      </c>
      <c r="D26" s="5" t="str">
        <f>_xlfn.XLOOKUP(TablaAdaptacionporasignatura[[#This Row],[ID Asig]],TablaDestino[ID Asig],TablaDestino[Módulo])</f>
        <v>Formación Específica en Tecnologías Marinas</v>
      </c>
      <c r="E26" t="str">
        <f>_xlfn.XLOOKUP(TablaAdaptacionporasignatura[[#This Row],[ID Asig]],TablaDestino[ID Asig],TablaDestino[ID Modulo])</f>
        <v>M3</v>
      </c>
      <c r="F26" s="30" t="s">
        <v>174</v>
      </c>
      <c r="G26" s="5" t="str">
        <f>_xlfn.XLOOKUP(TablaAdaptacionporasignatura[[#This Row],[ID Asig]],TablaDestino[ID Asig],TablaDestino[Asignatura])</f>
        <v>Motores marinos y Propulsión</v>
      </c>
      <c r="H26" s="5">
        <f>_xlfn.XLOOKUP(TablaAdaptacionporasignatura[[#This Row],[ID Asig]],TablaDestino[ID Asig],TablaDestino[Curso])</f>
        <v>3</v>
      </c>
      <c r="I26" s="5">
        <f>_xlfn.XLOOKUP(TablaAdaptacionporasignatura[[#This Row],[ID Asig]],TablaDestino[ID Asig],TablaDestino[Cuatr])</f>
        <v>2</v>
      </c>
      <c r="J26" s="5">
        <f>_xlfn.XLOOKUP(TablaAdaptacionporasignatura[[#This Row],[ID Asig]],TablaDestino[ID Asig],TablaDestino[ECTS])</f>
        <v>6</v>
      </c>
      <c r="K26" s="5" t="str">
        <f>_xlfn.XLOOKUP(TablaAdaptacionporasignatura[[#This Row],[ID Asig]],TablaDestino[ID Asig],TablaDestino[Tipo])</f>
        <v>Obligatoria</v>
      </c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 t="s">
        <v>35</v>
      </c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7" t="str" cm="1">
        <f t="array" ref="BS26">_xlfn.XLOOKUP("X",TablaAdaptacionporasignatura[[#This Row],[27448]:[Aux16]],TablaAdaptacionporasignatura[[#Headers],[27448]:[Aux16]],"")</f>
        <v>27493</v>
      </c>
      <c r="BT26" s="7" t="str" cm="1">
        <f t="array" ref="BT26">_xlfn.XLOOKUP("Y1",TablaAdaptacionporasignatura[[#This Row],[27448]:[Aux16]],TablaAdaptacionporasignatura[[#Headers],[27448]:[Aux16]],"")</f>
        <v/>
      </c>
      <c r="BU26" s="7" t="str" cm="1">
        <f t="array" ref="BU26">_xlfn.XLOOKUP("Y2",TablaAdaptacionporasignatura[[#This Row],[27448]:[Aux16]],TablaAdaptacionporasignatura[[#Headers],[27448]:[Aux16]],"")</f>
        <v/>
      </c>
      <c r="BV26" s="7" t="str" cm="1">
        <f t="array" ref="BV26">_xlfn.XLOOKUP("Y3",TablaAdaptacionporasignatura[[#This Row],[27448]:[Aux16]],TablaAdaptacionporasignatura[[#Headers],[27448]:[Aux16]],"")</f>
        <v/>
      </c>
      <c r="BW26" s="7" t="str" cm="1">
        <f t="array" ref="BW26">_xlfn.XLOOKUP("Y4",TablaAdaptacionporasignatura[[#This Row],[27448]:[Aux16]],TablaAdaptacionporasignatura[[#Headers],[27448]:[Aux16]],"")</f>
        <v/>
      </c>
      <c r="BX26" s="7" t="str" cm="1">
        <f t="array" ref="BX26">_xlfn.XLOOKUP("O1",TablaAdaptacionporasignatura[[#This Row],[27448]:[Aux16]],TablaAdaptacionporasignatura[[#Headers],[27448]:[Aux16]],"")</f>
        <v/>
      </c>
      <c r="BY26" s="5" t="str" cm="1">
        <f t="array" ref="BY26">_xlfn.XLOOKUP("O2",TablaAdaptacionporasignatura[[#This Row],[27448]:[Aux16]],TablaAdaptacionporasignatura[[#Headers],[27448]:[Aux16]],"")</f>
        <v/>
      </c>
      <c r="BZ26" s="5" t="str" cm="1">
        <f t="array" ref="BZ26">_xlfn.XLOOKUP("O3",TablaAdaptacionporasignatura[[#This Row],[27448]:[Aux16]],TablaAdaptacionporasignatura[[#Headers],[27448]:[Aux16]],"")</f>
        <v/>
      </c>
      <c r="CA26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26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26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26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26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26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26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26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26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27" spans="3:87" x14ac:dyDescent="0.2">
      <c r="C27">
        <v>20</v>
      </c>
      <c r="D27" s="5" t="str">
        <f>_xlfn.XLOOKUP(TablaAdaptacionporasignatura[[#This Row],[ID Asig]],TablaDestino[ID Asig],TablaDestino[Módulo])</f>
        <v>Formación Específica en Tecnologías Marinas</v>
      </c>
      <c r="E27" t="str">
        <f>_xlfn.XLOOKUP(TablaAdaptacionporasignatura[[#This Row],[ID Asig]],TablaDestino[ID Asig],TablaDestino[ID Modulo])</f>
        <v>M3</v>
      </c>
      <c r="F27" s="30" t="s">
        <v>176</v>
      </c>
      <c r="G27" s="5" t="str">
        <f>_xlfn.XLOOKUP(TablaAdaptacionporasignatura[[#This Row],[ID Asig]],TablaDestino[ID Asig],TablaDestino[Asignatura])</f>
        <v>Generadores marinos de vapor</v>
      </c>
      <c r="H27" s="5">
        <f>_xlfn.XLOOKUP(TablaAdaptacionporasignatura[[#This Row],[ID Asig]],TablaDestino[ID Asig],TablaDestino[Curso])</f>
        <v>3</v>
      </c>
      <c r="I27" s="5">
        <f>_xlfn.XLOOKUP(TablaAdaptacionporasignatura[[#This Row],[ID Asig]],TablaDestino[ID Asig],TablaDestino[Cuatr])</f>
        <v>1</v>
      </c>
      <c r="J27" s="5">
        <f>_xlfn.XLOOKUP(TablaAdaptacionporasignatura[[#This Row],[ID Asig]],TablaDestino[ID Asig],TablaDestino[ECTS])</f>
        <v>6</v>
      </c>
      <c r="K27" s="5" t="str">
        <f>_xlfn.XLOOKUP(TablaAdaptacionporasignatura[[#This Row],[ID Asig]],TablaDestino[ID Asig],TablaDestino[Tipo])</f>
        <v>Obligatoria</v>
      </c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 t="s">
        <v>35</v>
      </c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7" t="str" cm="1">
        <f t="array" ref="BS27">_xlfn.XLOOKUP("X",TablaAdaptacionporasignatura[[#This Row],[27448]:[Aux16]],TablaAdaptacionporasignatura[[#Headers],[27448]:[Aux16]],"")</f>
        <v>27494</v>
      </c>
      <c r="BT27" s="7" t="str" cm="1">
        <f t="array" ref="BT27">_xlfn.XLOOKUP("Y1",TablaAdaptacionporasignatura[[#This Row],[27448]:[Aux16]],TablaAdaptacionporasignatura[[#Headers],[27448]:[Aux16]],"")</f>
        <v/>
      </c>
      <c r="BU27" s="7" t="str" cm="1">
        <f t="array" ref="BU27">_xlfn.XLOOKUP("Y2",TablaAdaptacionporasignatura[[#This Row],[27448]:[Aux16]],TablaAdaptacionporasignatura[[#Headers],[27448]:[Aux16]],"")</f>
        <v/>
      </c>
      <c r="BV27" s="7" t="str" cm="1">
        <f t="array" ref="BV27">_xlfn.XLOOKUP("Y3",TablaAdaptacionporasignatura[[#This Row],[27448]:[Aux16]],TablaAdaptacionporasignatura[[#Headers],[27448]:[Aux16]],"")</f>
        <v/>
      </c>
      <c r="BW27" s="7" t="str" cm="1">
        <f t="array" ref="BW27">_xlfn.XLOOKUP("Y4",TablaAdaptacionporasignatura[[#This Row],[27448]:[Aux16]],TablaAdaptacionporasignatura[[#Headers],[27448]:[Aux16]],"")</f>
        <v/>
      </c>
      <c r="BX27" s="7" t="str" cm="1">
        <f t="array" ref="BX27">_xlfn.XLOOKUP("O1",TablaAdaptacionporasignatura[[#This Row],[27448]:[Aux16]],TablaAdaptacionporasignatura[[#Headers],[27448]:[Aux16]],"")</f>
        <v/>
      </c>
      <c r="BY27" s="5" t="str" cm="1">
        <f t="array" ref="BY27">_xlfn.XLOOKUP("O2",TablaAdaptacionporasignatura[[#This Row],[27448]:[Aux16]],TablaAdaptacionporasignatura[[#Headers],[27448]:[Aux16]],"")</f>
        <v/>
      </c>
      <c r="BZ27" s="5" t="str" cm="1">
        <f t="array" ref="BZ27">_xlfn.XLOOKUP("O3",TablaAdaptacionporasignatura[[#This Row],[27448]:[Aux16]],TablaAdaptacionporasignatura[[#Headers],[27448]:[Aux16]],"")</f>
        <v/>
      </c>
      <c r="CA27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27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27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27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27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27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27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27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27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28" spans="3:87" x14ac:dyDescent="0.2">
      <c r="C28">
        <v>21</v>
      </c>
      <c r="D28" s="5" t="str">
        <f>_xlfn.XLOOKUP(TablaAdaptacionporasignatura[[#This Row],[ID Asig]],TablaDestino[ID Asig],TablaDestino[Módulo])</f>
        <v>Formación Específica en Tecnologías Marinas</v>
      </c>
      <c r="E28" t="str">
        <f>_xlfn.XLOOKUP(TablaAdaptacionporasignatura[[#This Row],[ID Asig]],TablaDestino[ID Asig],TablaDestino[ID Modulo])</f>
        <v>M3</v>
      </c>
      <c r="F28" s="30" t="s">
        <v>178</v>
      </c>
      <c r="G28" s="5" t="str">
        <f>_xlfn.XLOOKUP(TablaAdaptacionporasignatura[[#This Row],[ID Asig]],TablaDestino[ID Asig],TablaDestino[Asignatura])</f>
        <v>Gestión Integral del Mantenimiento y Guardia en Máquinas</v>
      </c>
      <c r="H28" s="5">
        <f>_xlfn.XLOOKUP(TablaAdaptacionporasignatura[[#This Row],[ID Asig]],TablaDestino[ID Asig],TablaDestino[Curso])</f>
        <v>3</v>
      </c>
      <c r="I28" s="5">
        <f>_xlfn.XLOOKUP(TablaAdaptacionporasignatura[[#This Row],[ID Asig]],TablaDestino[ID Asig],TablaDestino[Cuatr])</f>
        <v>2</v>
      </c>
      <c r="J28" s="5">
        <f>_xlfn.XLOOKUP(TablaAdaptacionporasignatura[[#This Row],[ID Asig]],TablaDestino[ID Asig],TablaDestino[ECTS])</f>
        <v>6</v>
      </c>
      <c r="K28" s="5" t="str">
        <f>_xlfn.XLOOKUP(TablaAdaptacionporasignatura[[#This Row],[ID Asig]],TablaDestino[ID Asig],TablaDestino[Tipo])</f>
        <v>Obligatoria</v>
      </c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 t="s">
        <v>35</v>
      </c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7" t="str" cm="1">
        <f t="array" ref="BS28">_xlfn.XLOOKUP("X",TablaAdaptacionporasignatura[[#This Row],[27448]:[Aux16]],TablaAdaptacionporasignatura[[#Headers],[27448]:[Aux16]],"")</f>
        <v>27502</v>
      </c>
      <c r="BT28" s="7" t="str" cm="1">
        <f t="array" ref="BT28">_xlfn.XLOOKUP("Y1",TablaAdaptacionporasignatura[[#This Row],[27448]:[Aux16]],TablaAdaptacionporasignatura[[#Headers],[27448]:[Aux16]],"")</f>
        <v/>
      </c>
      <c r="BU28" s="7" t="str" cm="1">
        <f t="array" ref="BU28">_xlfn.XLOOKUP("Y2",TablaAdaptacionporasignatura[[#This Row],[27448]:[Aux16]],TablaAdaptacionporasignatura[[#Headers],[27448]:[Aux16]],"")</f>
        <v/>
      </c>
      <c r="BV28" s="7" t="str" cm="1">
        <f t="array" ref="BV28">_xlfn.XLOOKUP("Y3",TablaAdaptacionporasignatura[[#This Row],[27448]:[Aux16]],TablaAdaptacionporasignatura[[#Headers],[27448]:[Aux16]],"")</f>
        <v/>
      </c>
      <c r="BW28" s="7" t="str" cm="1">
        <f t="array" ref="BW28">_xlfn.XLOOKUP("Y4",TablaAdaptacionporasignatura[[#This Row],[27448]:[Aux16]],TablaAdaptacionporasignatura[[#Headers],[27448]:[Aux16]],"")</f>
        <v/>
      </c>
      <c r="BX28" s="7" t="str" cm="1">
        <f t="array" ref="BX28">_xlfn.XLOOKUP("O1",TablaAdaptacionporasignatura[[#This Row],[27448]:[Aux16]],TablaAdaptacionporasignatura[[#Headers],[27448]:[Aux16]],"")</f>
        <v/>
      </c>
      <c r="BY28" s="5" t="str" cm="1">
        <f t="array" ref="BY28">_xlfn.XLOOKUP("O2",TablaAdaptacionporasignatura[[#This Row],[27448]:[Aux16]],TablaAdaptacionporasignatura[[#Headers],[27448]:[Aux16]],"")</f>
        <v/>
      </c>
      <c r="BZ28" s="5" t="str" cm="1">
        <f t="array" ref="BZ28">_xlfn.XLOOKUP("O3",TablaAdaptacionporasignatura[[#This Row],[27448]:[Aux16]],TablaAdaptacionporasignatura[[#Headers],[27448]:[Aux16]],"")</f>
        <v/>
      </c>
      <c r="CA28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28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28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28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28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28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28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28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28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29" spans="3:87" x14ac:dyDescent="0.2">
      <c r="C29">
        <v>31</v>
      </c>
      <c r="D29" s="5" t="str">
        <f>_xlfn.XLOOKUP(TablaAdaptacionporasignatura[[#This Row],[ID Asig]],TablaDestino[ID Asig],TablaDestino[Módulo])</f>
        <v>Formación Específica en Tecnologías Marinas</v>
      </c>
      <c r="E29" t="str">
        <f>_xlfn.XLOOKUP(TablaAdaptacionporasignatura[[#This Row],[ID Asig]],TablaDestino[ID Asig],TablaDestino[ID Modulo])</f>
        <v>M3</v>
      </c>
      <c r="F29" s="30" t="s">
        <v>180</v>
      </c>
      <c r="G29" s="5" t="str">
        <f>_xlfn.XLOOKUP(TablaAdaptacionporasignatura[[#This Row],[ID Asig]],TablaDestino[ID Asig],TablaDestino[Asignatura])</f>
        <v>Motores marinos de Combustión Interna</v>
      </c>
      <c r="H29" s="5">
        <f>_xlfn.XLOOKUP(TablaAdaptacionporasignatura[[#This Row],[ID Asig]],TablaDestino[ID Asig],TablaDestino[Curso])</f>
        <v>3</v>
      </c>
      <c r="I29" s="5">
        <f>_xlfn.XLOOKUP(TablaAdaptacionporasignatura[[#This Row],[ID Asig]],TablaDestino[ID Asig],TablaDestino[Cuatr])</f>
        <v>1</v>
      </c>
      <c r="J29" s="5">
        <f>_xlfn.XLOOKUP(TablaAdaptacionporasignatura[[#This Row],[ID Asig]],TablaDestino[ID Asig],TablaDestino[ECTS])</f>
        <v>6</v>
      </c>
      <c r="K29" s="5" t="str">
        <f>_xlfn.XLOOKUP(TablaAdaptacionporasignatura[[#This Row],[ID Asig]],TablaDestino[ID Asig],TablaDestino[Tipo])</f>
        <v>Obligatoria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 t="s">
        <v>35</v>
      </c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7" t="str" cm="1">
        <f t="array" ref="BS29">_xlfn.XLOOKUP("X",TablaAdaptacionporasignatura[[#This Row],[27448]:[Aux16]],TablaAdaptacionporasignatura[[#Headers],[27448]:[Aux16]],"")</f>
        <v>27491</v>
      </c>
      <c r="BT29" s="7" t="str" cm="1">
        <f t="array" ref="BT29">_xlfn.XLOOKUP("Y1",TablaAdaptacionporasignatura[[#This Row],[27448]:[Aux16]],TablaAdaptacionporasignatura[[#Headers],[27448]:[Aux16]],"")</f>
        <v/>
      </c>
      <c r="BU29" s="7" t="str" cm="1">
        <f t="array" ref="BU29">_xlfn.XLOOKUP("Y2",TablaAdaptacionporasignatura[[#This Row],[27448]:[Aux16]],TablaAdaptacionporasignatura[[#Headers],[27448]:[Aux16]],"")</f>
        <v/>
      </c>
      <c r="BV29" s="7" t="str" cm="1">
        <f t="array" ref="BV29">_xlfn.XLOOKUP("Y3",TablaAdaptacionporasignatura[[#This Row],[27448]:[Aux16]],TablaAdaptacionporasignatura[[#Headers],[27448]:[Aux16]],"")</f>
        <v/>
      </c>
      <c r="BW29" s="7" t="str" cm="1">
        <f t="array" ref="BW29">_xlfn.XLOOKUP("Y4",TablaAdaptacionporasignatura[[#This Row],[27448]:[Aux16]],TablaAdaptacionporasignatura[[#Headers],[27448]:[Aux16]],"")</f>
        <v/>
      </c>
      <c r="BX29" s="7" t="str" cm="1">
        <f t="array" ref="BX29">_xlfn.XLOOKUP("O1",TablaAdaptacionporasignatura[[#This Row],[27448]:[Aux16]],TablaAdaptacionporasignatura[[#Headers],[27448]:[Aux16]],"")</f>
        <v/>
      </c>
      <c r="BY29" s="5" t="str" cm="1">
        <f t="array" ref="BY29">_xlfn.XLOOKUP("O2",TablaAdaptacionporasignatura[[#This Row],[27448]:[Aux16]],TablaAdaptacionporasignatura[[#Headers],[27448]:[Aux16]],"")</f>
        <v/>
      </c>
      <c r="BZ29" s="5" t="str" cm="1">
        <f t="array" ref="BZ29">_xlfn.XLOOKUP("O3",TablaAdaptacionporasignatura[[#This Row],[27448]:[Aux16]],TablaAdaptacionporasignatura[[#Headers],[27448]:[Aux16]],"")</f>
        <v/>
      </c>
      <c r="CA29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29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29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29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29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29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29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29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29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30" spans="3:87" x14ac:dyDescent="0.2">
      <c r="C30">
        <v>32</v>
      </c>
      <c r="D30" s="5" t="str">
        <f>_xlfn.XLOOKUP(TablaAdaptacionporasignatura[[#This Row],[ID Asig]],TablaDestino[ID Asig],TablaDestino[Módulo])</f>
        <v>Formación Específica en Tecnologías Marinas</v>
      </c>
      <c r="E30" t="str">
        <f>_xlfn.XLOOKUP(TablaAdaptacionporasignatura[[#This Row],[ID Asig]],TablaDestino[ID Asig],TablaDestino[ID Modulo])</f>
        <v>M3</v>
      </c>
      <c r="F30" s="30" t="s">
        <v>182</v>
      </c>
      <c r="G30" s="5" t="str">
        <f>_xlfn.XLOOKUP(TablaAdaptacionporasignatura[[#This Row],[ID Asig]],TablaDestino[ID Asig],TablaDestino[Asignatura])</f>
        <v>Técnicas de Frío y Climatización en el buque</v>
      </c>
      <c r="H30" s="5">
        <f>_xlfn.XLOOKUP(TablaAdaptacionporasignatura[[#This Row],[ID Asig]],TablaDestino[ID Asig],TablaDestino[Curso])</f>
        <v>3</v>
      </c>
      <c r="I30" s="5">
        <f>_xlfn.XLOOKUP(TablaAdaptacionporasignatura[[#This Row],[ID Asig]],TablaDestino[ID Asig],TablaDestino[Cuatr])</f>
        <v>2</v>
      </c>
      <c r="J30" s="5">
        <f>_xlfn.XLOOKUP(TablaAdaptacionporasignatura[[#This Row],[ID Asig]],TablaDestino[ID Asig],TablaDestino[ECTS])</f>
        <v>6</v>
      </c>
      <c r="K30" s="5" t="str">
        <f>_xlfn.XLOOKUP(TablaAdaptacionporasignatura[[#This Row],[ID Asig]],TablaDestino[ID Asig],TablaDestino[Tipo])</f>
        <v>Obligatoria</v>
      </c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 t="s">
        <v>35</v>
      </c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7" t="str" cm="1">
        <f t="array" ref="BS30">_xlfn.XLOOKUP("X",TablaAdaptacionporasignatura[[#This Row],[27448]:[Aux16]],TablaAdaptacionporasignatura[[#Headers],[27448]:[Aux16]],"")</f>
        <v>27488</v>
      </c>
      <c r="BT30" s="7" t="str" cm="1">
        <f t="array" ref="BT30">_xlfn.XLOOKUP("Y1",TablaAdaptacionporasignatura[[#This Row],[27448]:[Aux16]],TablaAdaptacionporasignatura[[#Headers],[27448]:[Aux16]],"")</f>
        <v/>
      </c>
      <c r="BU30" s="7" t="str" cm="1">
        <f t="array" ref="BU30">_xlfn.XLOOKUP("Y2",TablaAdaptacionporasignatura[[#This Row],[27448]:[Aux16]],TablaAdaptacionporasignatura[[#Headers],[27448]:[Aux16]],"")</f>
        <v/>
      </c>
      <c r="BV30" s="7" t="str" cm="1">
        <f t="array" ref="BV30">_xlfn.XLOOKUP("Y3",TablaAdaptacionporasignatura[[#This Row],[27448]:[Aux16]],TablaAdaptacionporasignatura[[#Headers],[27448]:[Aux16]],"")</f>
        <v/>
      </c>
      <c r="BW30" s="7" t="str" cm="1">
        <f t="array" ref="BW30">_xlfn.XLOOKUP("Y4",TablaAdaptacionporasignatura[[#This Row],[27448]:[Aux16]],TablaAdaptacionporasignatura[[#Headers],[27448]:[Aux16]],"")</f>
        <v/>
      </c>
      <c r="BX30" s="7" t="str" cm="1">
        <f t="array" ref="BX30">_xlfn.XLOOKUP("O1",TablaAdaptacionporasignatura[[#This Row],[27448]:[Aux16]],TablaAdaptacionporasignatura[[#Headers],[27448]:[Aux16]],"")</f>
        <v/>
      </c>
      <c r="BY30" s="5" t="str" cm="1">
        <f t="array" ref="BY30">_xlfn.XLOOKUP("O2",TablaAdaptacionporasignatura[[#This Row],[27448]:[Aux16]],TablaAdaptacionporasignatura[[#Headers],[27448]:[Aux16]],"")</f>
        <v/>
      </c>
      <c r="BZ30" s="5" t="str" cm="1">
        <f t="array" ref="BZ30">_xlfn.XLOOKUP("O3",TablaAdaptacionporasignatura[[#This Row],[27448]:[Aux16]],TablaAdaptacionporasignatura[[#Headers],[27448]:[Aux16]],"")</f>
        <v/>
      </c>
      <c r="CA30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30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30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30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30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30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30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30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30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31" spans="3:87" x14ac:dyDescent="0.2">
      <c r="C31">
        <v>33</v>
      </c>
      <c r="D31" s="5" t="str">
        <f>_xlfn.XLOOKUP(TablaAdaptacionporasignatura[[#This Row],[ID Asig]],TablaDestino[ID Asig],TablaDestino[Módulo])</f>
        <v>Formación Específica en Tecnologías Marinas</v>
      </c>
      <c r="E31" t="str">
        <f>_xlfn.XLOOKUP(TablaAdaptacionporasignatura[[#This Row],[ID Asig]],TablaDestino[ID Asig],TablaDestino[ID Modulo])</f>
        <v>M3</v>
      </c>
      <c r="F31" s="30" t="s">
        <v>184</v>
      </c>
      <c r="G31" s="5" t="str">
        <f>_xlfn.XLOOKUP(TablaAdaptacionporasignatura[[#This Row],[ID Asig]],TablaDestino[ID Asig],TablaDestino[Asignatura])</f>
        <v>Transportes especiales</v>
      </c>
      <c r="H31" s="5">
        <f>_xlfn.XLOOKUP(TablaAdaptacionporasignatura[[#This Row],[ID Asig]],TablaDestino[ID Asig],TablaDestino[Curso])</f>
        <v>3</v>
      </c>
      <c r="I31" s="5">
        <f>_xlfn.XLOOKUP(TablaAdaptacionporasignatura[[#This Row],[ID Asig]],TablaDestino[ID Asig],TablaDestino[Cuatr])</f>
        <v>1</v>
      </c>
      <c r="J31" s="5">
        <f>_xlfn.XLOOKUP(TablaAdaptacionporasignatura[[#This Row],[ID Asig]],TablaDestino[ID Asig],TablaDestino[ECTS])</f>
        <v>6</v>
      </c>
      <c r="K31" s="5" t="str">
        <f>_xlfn.XLOOKUP(TablaAdaptacionporasignatura[[#This Row],[ID Asig]],TablaDestino[ID Asig],TablaDestino[Tipo])</f>
        <v>Obligatoria</v>
      </c>
      <c r="L31" s="5"/>
      <c r="M31" s="5"/>
      <c r="N31" s="5" t="s">
        <v>35</v>
      </c>
      <c r="O31" s="5"/>
      <c r="P31" s="5"/>
      <c r="Q31" s="5"/>
      <c r="R31" s="5"/>
      <c r="S31" s="5"/>
      <c r="T31" s="5"/>
      <c r="U31" s="5"/>
      <c r="V31" s="5"/>
      <c r="W31" s="5" t="s">
        <v>279</v>
      </c>
      <c r="X31" s="5" t="s">
        <v>280</v>
      </c>
      <c r="Y31" s="5"/>
      <c r="Z31" s="5"/>
      <c r="AA31" s="5"/>
      <c r="AB31" s="5"/>
      <c r="AC31" s="5" t="s">
        <v>281</v>
      </c>
      <c r="AD31" s="5"/>
      <c r="AE31" s="5"/>
      <c r="AF31" s="5"/>
      <c r="AG31" s="5"/>
      <c r="AH31" s="5"/>
      <c r="AI31" s="5"/>
      <c r="AJ31" s="5"/>
      <c r="AK31" s="5" t="s">
        <v>282</v>
      </c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7" t="str" cm="1">
        <f t="array" ref="BS31">_xlfn.XLOOKUP("X",TablaAdaptacionporasignatura[[#This Row],[27448]:[Aux16]],TablaAdaptacionporasignatura[[#Headers],[27448]:[Aux16]],"")</f>
        <v>27447</v>
      </c>
      <c r="BT31" s="7" t="str" cm="1">
        <f t="array" ref="BT31">_xlfn.XLOOKUP("Y1",TablaAdaptacionporasignatura[[#This Row],[27448]:[Aux16]],TablaAdaptacionporasignatura[[#Headers],[27448]:[Aux16]],"")</f>
        <v>27456</v>
      </c>
      <c r="BU31" s="7" t="str" cm="1">
        <f t="array" ref="BU31">_xlfn.XLOOKUP("Y2",TablaAdaptacionporasignatura[[#This Row],[27448]:[Aux16]],TablaAdaptacionporasignatura[[#Headers],[27448]:[Aux16]],"")</f>
        <v>27453</v>
      </c>
      <c r="BV31" s="7" t="str" cm="1">
        <f t="array" ref="BV31">_xlfn.XLOOKUP("Y3",TablaAdaptacionporasignatura[[#This Row],[27448]:[Aux16]],TablaAdaptacionporasignatura[[#Headers],[27448]:[Aux16]],"")</f>
        <v>27455</v>
      </c>
      <c r="BW31" s="7" t="str" cm="1">
        <f t="array" ref="BW31">_xlfn.XLOOKUP("Y4",TablaAdaptacionporasignatura[[#This Row],[27448]:[Aux16]],TablaAdaptacionporasignatura[[#Headers],[27448]:[Aux16]],"")</f>
        <v>27489</v>
      </c>
      <c r="BX31" s="7" t="str" cm="1">
        <f t="array" ref="BX31">_xlfn.XLOOKUP("O1",TablaAdaptacionporasignatura[[#This Row],[27448]:[Aux16]],TablaAdaptacionporasignatura[[#Headers],[27448]:[Aux16]],"")</f>
        <v/>
      </c>
      <c r="BY31" s="5" t="str" cm="1">
        <f t="array" ref="BY31">_xlfn.XLOOKUP("O2",TablaAdaptacionporasignatura[[#This Row],[27448]:[Aux16]],TablaAdaptacionporasignatura[[#Headers],[27448]:[Aux16]],"")</f>
        <v/>
      </c>
      <c r="BZ31" s="5" t="str" cm="1">
        <f t="array" ref="BZ31">_xlfn.XLOOKUP("O3",TablaAdaptacionporasignatura[[#This Row],[27448]:[Aux16]],TablaAdaptacionporasignatura[[#Headers],[27448]:[Aux16]],"")</f>
        <v/>
      </c>
      <c r="CA31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31" s="5" t="str">
        <f>IF(TablaAdaptacionporasignatura[[#This Row],[Asignatura Secundaria Y1]]="","",_xlfn.XLOOKUP(VALUE(TablaAdaptacionporasignatura[[#This Row],[Asignatura Secundaria Y1]]),TablaOrigen[Cod. As.],TablaOrigen[Asignatura a procesar?],""))</f>
        <v>NO</v>
      </c>
      <c r="CC31" s="5" t="str">
        <f>IF(TablaAdaptacionporasignatura[[#This Row],[Asignatura Secundaria Y2]]="","",_xlfn.XLOOKUP(VALUE(TablaAdaptacionporasignatura[[#This Row],[Asignatura Secundaria Y2]]),TablaOrigen[Cod. As.],TablaOrigen[Asignatura a procesar?],""))</f>
        <v>NO</v>
      </c>
      <c r="CD31" s="5" t="str">
        <f>IF(TablaAdaptacionporasignatura[[#This Row],[Asignatura Secundaria Y3]]="","",_xlfn.XLOOKUP(VALUE(TablaAdaptacionporasignatura[[#This Row],[Asignatura Secundaria Y3]]),TablaOrigen[Cod. As.],TablaOrigen[Asignatura a procesar?],""))</f>
        <v>NO</v>
      </c>
      <c r="CE31" s="5" t="str">
        <f>IF(TablaAdaptacionporasignatura[[#This Row],[Asignatura Secundaria  Y4]]="","",_xlfn.XLOOKUP(VALUE(TablaAdaptacionporasignatura[[#This Row],[Asignatura Secundaria  Y4]]),TablaOrigen[Cod. As.],TablaOrigen[Asignatura a procesar?],""))</f>
        <v>NO</v>
      </c>
      <c r="CF31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31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31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31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32" spans="3:87" x14ac:dyDescent="0.2">
      <c r="C32">
        <v>34</v>
      </c>
      <c r="D32" s="5" t="str">
        <f>_xlfn.XLOOKUP(TablaAdaptacionporasignatura[[#This Row],[ID Asig]],TablaDestino[ID Asig],TablaDestino[Módulo])</f>
        <v>Formación Específica en Tecnologías Marinas</v>
      </c>
      <c r="E32" t="str">
        <f>_xlfn.XLOOKUP(TablaAdaptacionporasignatura[[#This Row],[ID Asig]],TablaDestino[ID Asig],TablaDestino[ID Modulo])</f>
        <v>M3</v>
      </c>
      <c r="F32" s="30" t="s">
        <v>186</v>
      </c>
      <c r="G32" s="5" t="str">
        <f>_xlfn.XLOOKUP(TablaAdaptacionporasignatura[[#This Row],[ID Asig]],TablaDestino[ID Asig],TablaDestino[Asignatura])</f>
        <v>Turbinas marinas de vapor</v>
      </c>
      <c r="H32" s="5">
        <f>_xlfn.XLOOKUP(TablaAdaptacionporasignatura[[#This Row],[ID Asig]],TablaDestino[ID Asig],TablaDestino[Curso])</f>
        <v>3</v>
      </c>
      <c r="I32" s="5">
        <f>_xlfn.XLOOKUP(TablaAdaptacionporasignatura[[#This Row],[ID Asig]],TablaDestino[ID Asig],TablaDestino[Cuatr])</f>
        <v>2</v>
      </c>
      <c r="J32" s="5">
        <f>_xlfn.XLOOKUP(TablaAdaptacionporasignatura[[#This Row],[ID Asig]],TablaDestino[ID Asig],TablaDestino[ECTS])</f>
        <v>6</v>
      </c>
      <c r="K32" s="5" t="str">
        <f>_xlfn.XLOOKUP(TablaAdaptacionporasignatura[[#This Row],[ID Asig]],TablaDestino[ID Asig],TablaDestino[Tipo])</f>
        <v>Obligatoria</v>
      </c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 t="s">
        <v>35</v>
      </c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7" t="str" cm="1">
        <f t="array" ref="BS32">_xlfn.XLOOKUP("X",TablaAdaptacionporasignatura[[#This Row],[27448]:[Aux16]],TablaAdaptacionporasignatura[[#Headers],[27448]:[Aux16]],"")</f>
        <v>27492</v>
      </c>
      <c r="BT32" s="7" t="str" cm="1">
        <f t="array" ref="BT32">_xlfn.XLOOKUP("Y1",TablaAdaptacionporasignatura[[#This Row],[27448]:[Aux16]],TablaAdaptacionporasignatura[[#Headers],[27448]:[Aux16]],"")</f>
        <v/>
      </c>
      <c r="BU32" s="7" t="str" cm="1">
        <f t="array" ref="BU32">_xlfn.XLOOKUP("Y2",TablaAdaptacionporasignatura[[#This Row],[27448]:[Aux16]],TablaAdaptacionporasignatura[[#Headers],[27448]:[Aux16]],"")</f>
        <v/>
      </c>
      <c r="BV32" s="7" t="str" cm="1">
        <f t="array" ref="BV32">_xlfn.XLOOKUP("Y3",TablaAdaptacionporasignatura[[#This Row],[27448]:[Aux16]],TablaAdaptacionporasignatura[[#Headers],[27448]:[Aux16]],"")</f>
        <v/>
      </c>
      <c r="BW32" s="7" t="str" cm="1">
        <f t="array" ref="BW32">_xlfn.XLOOKUP("Y4",TablaAdaptacionporasignatura[[#This Row],[27448]:[Aux16]],TablaAdaptacionporasignatura[[#Headers],[27448]:[Aux16]],"")</f>
        <v/>
      </c>
      <c r="BX32" s="7" t="str" cm="1">
        <f t="array" ref="BX32">_xlfn.XLOOKUP("O1",TablaAdaptacionporasignatura[[#This Row],[27448]:[Aux16]],TablaAdaptacionporasignatura[[#Headers],[27448]:[Aux16]],"")</f>
        <v/>
      </c>
      <c r="BY32" s="5" t="str" cm="1">
        <f t="array" ref="BY32">_xlfn.XLOOKUP("O2",TablaAdaptacionporasignatura[[#This Row],[27448]:[Aux16]],TablaAdaptacionporasignatura[[#Headers],[27448]:[Aux16]],"")</f>
        <v/>
      </c>
      <c r="BZ32" s="5" t="str" cm="1">
        <f t="array" ref="BZ32">_xlfn.XLOOKUP("O3",TablaAdaptacionporasignatura[[#This Row],[27448]:[Aux16]],TablaAdaptacionporasignatura[[#Headers],[27448]:[Aux16]],"")</f>
        <v/>
      </c>
      <c r="CA32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32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32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32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32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32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32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32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32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33" spans="3:87" x14ac:dyDescent="0.2">
      <c r="C33">
        <v>35</v>
      </c>
      <c r="D33" s="5" t="str">
        <f>_xlfn.XLOOKUP(TablaAdaptacionporasignatura[[#This Row],[ID Asig]],TablaDestino[ID Asig],TablaDestino[Módulo])</f>
        <v>Formación Específica en Tecnologías Marinas</v>
      </c>
      <c r="E33" t="str">
        <f>_xlfn.XLOOKUP(TablaAdaptacionporasignatura[[#This Row],[ID Asig]],TablaDestino[ID Asig],TablaDestino[ID Modulo])</f>
        <v>M3</v>
      </c>
      <c r="F33" s="30" t="s">
        <v>188</v>
      </c>
      <c r="G33" s="5" t="str">
        <f>_xlfn.XLOOKUP(TablaAdaptacionporasignatura[[#This Row],[ID Asig]],TablaDestino[ID Asig],TablaDestino[Asignatura])</f>
        <v>Electrónica de Potencia y 
Propulsión eléctrica marina</v>
      </c>
      <c r="H33" s="5">
        <f>_xlfn.XLOOKUP(TablaAdaptacionporasignatura[[#This Row],[ID Asig]],TablaDestino[ID Asig],TablaDestino[Curso])</f>
        <v>4</v>
      </c>
      <c r="I33" s="5">
        <f>_xlfn.XLOOKUP(TablaAdaptacionporasignatura[[#This Row],[ID Asig]],TablaDestino[ID Asig],TablaDestino[Cuatr])</f>
        <v>1</v>
      </c>
      <c r="J33" s="5">
        <f>_xlfn.XLOOKUP(TablaAdaptacionporasignatura[[#This Row],[ID Asig]],TablaDestino[ID Asig],TablaDestino[ECTS])</f>
        <v>6</v>
      </c>
      <c r="K33" s="5" t="str">
        <f>_xlfn.XLOOKUP(TablaAdaptacionporasignatura[[#This Row],[ID Asig]],TablaDestino[ID Asig],TablaDestino[Tipo])</f>
        <v>Obligatoria</v>
      </c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 t="s">
        <v>35</v>
      </c>
      <c r="AQ33" s="5"/>
      <c r="AR33" s="5"/>
      <c r="AS33" s="5"/>
      <c r="AT33" s="5"/>
      <c r="AU33" s="5"/>
      <c r="AV33" s="5"/>
      <c r="AW33" s="5"/>
      <c r="AX33" s="5" t="s">
        <v>296</v>
      </c>
      <c r="AY33" s="5"/>
      <c r="AZ33" s="5"/>
      <c r="BA33" s="5"/>
      <c r="BB33" s="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7" t="str" cm="1">
        <f t="array" ref="BS33">_xlfn.XLOOKUP("X",TablaAdaptacionporasignatura[[#This Row],[27448]:[Aux16]],TablaAdaptacionporasignatura[[#Headers],[27448]:[Aux16]],"")</f>
        <v>27496</v>
      </c>
      <c r="BT33" s="7" t="str" cm="1">
        <f t="array" ref="BT33">_xlfn.XLOOKUP("Y1",TablaAdaptacionporasignatura[[#This Row],[27448]:[Aux16]],TablaAdaptacionporasignatura[[#Headers],[27448]:[Aux16]],"")</f>
        <v/>
      </c>
      <c r="BU33" s="7" t="str" cm="1">
        <f t="array" ref="BU33">_xlfn.XLOOKUP("Y2",TablaAdaptacionporasignatura[[#This Row],[27448]:[Aux16]],TablaAdaptacionporasignatura[[#Headers],[27448]:[Aux16]],"")</f>
        <v/>
      </c>
      <c r="BV33" s="7" t="str" cm="1">
        <f t="array" ref="BV33">_xlfn.XLOOKUP("Y3",TablaAdaptacionporasignatura[[#This Row],[27448]:[Aux16]],TablaAdaptacionporasignatura[[#Headers],[27448]:[Aux16]],"")</f>
        <v/>
      </c>
      <c r="BW33" s="7" t="str" cm="1">
        <f t="array" ref="BW33">_xlfn.XLOOKUP("Y4",TablaAdaptacionporasignatura[[#This Row],[27448]:[Aux16]],TablaAdaptacionporasignatura[[#Headers],[27448]:[Aux16]],"")</f>
        <v/>
      </c>
      <c r="BX33" s="7" t="str" cm="1">
        <f t="array" ref="BX33">_xlfn.XLOOKUP("O1",TablaAdaptacionporasignatura[[#This Row],[27448]:[Aux16]],TablaAdaptacionporasignatura[[#Headers],[27448]:[Aux16]],"")</f>
        <v>27497</v>
      </c>
      <c r="BY33" s="5" t="str" cm="1">
        <f t="array" ref="BY33">_xlfn.XLOOKUP("O2",TablaAdaptacionporasignatura[[#This Row],[27448]:[Aux16]],TablaAdaptacionporasignatura[[#Headers],[27448]:[Aux16]],"")</f>
        <v/>
      </c>
      <c r="BZ33" s="5" t="str" cm="1">
        <f t="array" ref="BZ33">_xlfn.XLOOKUP("O3",TablaAdaptacionporasignatura[[#This Row],[27448]:[Aux16]],TablaAdaptacionporasignatura[[#Headers],[27448]:[Aux16]],"")</f>
        <v/>
      </c>
      <c r="CA33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33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33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33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33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33" s="5" t="str">
        <f>IF(TablaAdaptacionporasignatura[[#This Row],[Asignatura Secundaria O1]]="","",_xlfn.XLOOKUP(VALUE(TablaAdaptacionporasignatura[[#This Row],[Asignatura Secundaria O1]]),TablaOrigen[Cod. As.],TablaOrigen[Asignatura a procesar?],""))</f>
        <v>NO</v>
      </c>
      <c r="CG33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33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33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34" spans="3:87" x14ac:dyDescent="0.2">
      <c r="C34">
        <v>36</v>
      </c>
      <c r="D34" s="5" t="str">
        <f>_xlfn.XLOOKUP(TablaAdaptacionporasignatura[[#This Row],[ID Asig]],TablaDestino[ID Asig],TablaDestino[Módulo])</f>
        <v>Formación Específica en Tecnologías Marinas</v>
      </c>
      <c r="E34" t="str">
        <f>_xlfn.XLOOKUP(TablaAdaptacionporasignatura[[#This Row],[ID Asig]],TablaDestino[ID Asig],TablaDestino[ID Modulo])</f>
        <v>M3</v>
      </c>
      <c r="F34" s="30" t="s">
        <v>190</v>
      </c>
      <c r="G34" s="5" t="str">
        <f>_xlfn.XLOOKUP(TablaAdaptacionporasignatura[[#This Row],[ID Asig]],TablaDestino[ID Asig],TablaDestino[Asignatura])</f>
        <v>Gestión de Proyectos</v>
      </c>
      <c r="H34" s="5">
        <f>_xlfn.XLOOKUP(TablaAdaptacionporasignatura[[#This Row],[ID Asig]],TablaDestino[ID Asig],TablaDestino[Curso])</f>
        <v>4</v>
      </c>
      <c r="I34" s="5">
        <f>_xlfn.XLOOKUP(TablaAdaptacionporasignatura[[#This Row],[ID Asig]],TablaDestino[ID Asig],TablaDestino[Cuatr])</f>
        <v>1</v>
      </c>
      <c r="J34" s="5">
        <f>_xlfn.XLOOKUP(TablaAdaptacionporasignatura[[#This Row],[ID Asig]],TablaDestino[ID Asig],TablaDestino[ECTS])</f>
        <v>6</v>
      </c>
      <c r="K34" s="5" t="str">
        <f>_xlfn.XLOOKUP(TablaAdaptacionporasignatura[[#This Row],[ID Asig]],TablaDestino[ID Asig],TablaDestino[Tipo])</f>
        <v>Obligatoria</v>
      </c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 t="s">
        <v>35</v>
      </c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7" t="str" cm="1">
        <f t="array" ref="BS34">_xlfn.XLOOKUP("X",TablaAdaptacionporasignatura[[#This Row],[27448]:[Aux16]],TablaAdaptacionporasignatura[[#Headers],[27448]:[Aux16]],"")</f>
        <v>27490</v>
      </c>
      <c r="BT34" s="7" t="str" cm="1">
        <f t="array" ref="BT34">_xlfn.XLOOKUP("Y1",TablaAdaptacionporasignatura[[#This Row],[27448]:[Aux16]],TablaAdaptacionporasignatura[[#Headers],[27448]:[Aux16]],"")</f>
        <v/>
      </c>
      <c r="BU34" s="7" t="str" cm="1">
        <f t="array" ref="BU34">_xlfn.XLOOKUP("Y2",TablaAdaptacionporasignatura[[#This Row],[27448]:[Aux16]],TablaAdaptacionporasignatura[[#Headers],[27448]:[Aux16]],"")</f>
        <v/>
      </c>
      <c r="BV34" s="7" t="str" cm="1">
        <f t="array" ref="BV34">_xlfn.XLOOKUP("Y3",TablaAdaptacionporasignatura[[#This Row],[27448]:[Aux16]],TablaAdaptacionporasignatura[[#Headers],[27448]:[Aux16]],"")</f>
        <v/>
      </c>
      <c r="BW34" s="7" t="str" cm="1">
        <f t="array" ref="BW34">_xlfn.XLOOKUP("Y4",TablaAdaptacionporasignatura[[#This Row],[27448]:[Aux16]],TablaAdaptacionporasignatura[[#Headers],[27448]:[Aux16]],"")</f>
        <v/>
      </c>
      <c r="BX34" s="7" t="str" cm="1">
        <f t="array" ref="BX34">_xlfn.XLOOKUP("O1",TablaAdaptacionporasignatura[[#This Row],[27448]:[Aux16]],TablaAdaptacionporasignatura[[#Headers],[27448]:[Aux16]],"")</f>
        <v/>
      </c>
      <c r="BY34" s="5" t="str" cm="1">
        <f t="array" ref="BY34">_xlfn.XLOOKUP("O2",TablaAdaptacionporasignatura[[#This Row],[27448]:[Aux16]],TablaAdaptacionporasignatura[[#Headers],[27448]:[Aux16]],"")</f>
        <v/>
      </c>
      <c r="BZ34" s="5" t="str" cm="1">
        <f t="array" ref="BZ34">_xlfn.XLOOKUP("O3",TablaAdaptacionporasignatura[[#This Row],[27448]:[Aux16]],TablaAdaptacionporasignatura[[#Headers],[27448]:[Aux16]],"")</f>
        <v/>
      </c>
      <c r="CA34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34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34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34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34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34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34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34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34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35" spans="3:87" x14ac:dyDescent="0.2">
      <c r="C35">
        <v>42</v>
      </c>
      <c r="D35" s="5" t="str">
        <f>_xlfn.XLOOKUP(TablaAdaptacionporasignatura[[#This Row],[ID Asig]],TablaDestino[ID Asig],TablaDestino[Módulo])</f>
        <v>Formación Específica en Tecnologías Marinas</v>
      </c>
      <c r="E35" t="str">
        <f>_xlfn.XLOOKUP(TablaAdaptacionporasignatura[[#This Row],[ID Asig]],TablaDestino[ID Asig],TablaDestino[ID Modulo])</f>
        <v>M3</v>
      </c>
      <c r="F35" s="30" t="s">
        <v>192</v>
      </c>
      <c r="G35" s="5" t="str">
        <f>_xlfn.XLOOKUP(TablaAdaptacionporasignatura[[#This Row],[ID Asig]],TablaDestino[ID Asig],TablaDestino[Asignatura])</f>
        <v>Instrumentación, Regulación y Control en el buque</v>
      </c>
      <c r="H35" s="5">
        <f>_xlfn.XLOOKUP(TablaAdaptacionporasignatura[[#This Row],[ID Asig]],TablaDestino[ID Asig],TablaDestino[Curso])</f>
        <v>4</v>
      </c>
      <c r="I35" s="5">
        <f>_xlfn.XLOOKUP(TablaAdaptacionporasignatura[[#This Row],[ID Asig]],TablaDestino[ID Asig],TablaDestino[Cuatr])</f>
        <v>1</v>
      </c>
      <c r="J35" s="5">
        <f>_xlfn.XLOOKUP(TablaAdaptacionporasignatura[[#This Row],[ID Asig]],TablaDestino[ID Asig],TablaDestino[ECTS])</f>
        <v>6</v>
      </c>
      <c r="K35" s="5" t="str">
        <f>_xlfn.XLOOKUP(TablaAdaptacionporasignatura[[#This Row],[ID Asig]],TablaDestino[ID Asig],TablaDestino[Tipo])</f>
        <v>Obligatoria</v>
      </c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 t="s">
        <v>35</v>
      </c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7" t="str" cm="1">
        <f t="array" ref="BS35">_xlfn.XLOOKUP("X",TablaAdaptacionporasignatura[[#This Row],[27448]:[Aux16]],TablaAdaptacionporasignatura[[#Headers],[27448]:[Aux16]],"")</f>
        <v>27487</v>
      </c>
      <c r="BT35" s="7" t="str" cm="1">
        <f t="array" ref="BT35">_xlfn.XLOOKUP("Y1",TablaAdaptacionporasignatura[[#This Row],[27448]:[Aux16]],TablaAdaptacionporasignatura[[#Headers],[27448]:[Aux16]],"")</f>
        <v/>
      </c>
      <c r="BU35" s="7" t="str" cm="1">
        <f t="array" ref="BU35">_xlfn.XLOOKUP("Y2",TablaAdaptacionporasignatura[[#This Row],[27448]:[Aux16]],TablaAdaptacionporasignatura[[#Headers],[27448]:[Aux16]],"")</f>
        <v/>
      </c>
      <c r="BV35" s="7" t="str" cm="1">
        <f t="array" ref="BV35">_xlfn.XLOOKUP("Y3",TablaAdaptacionporasignatura[[#This Row],[27448]:[Aux16]],TablaAdaptacionporasignatura[[#Headers],[27448]:[Aux16]],"")</f>
        <v/>
      </c>
      <c r="BW35" s="7" t="str" cm="1">
        <f t="array" ref="BW35">_xlfn.XLOOKUP("Y4",TablaAdaptacionporasignatura[[#This Row],[27448]:[Aux16]],TablaAdaptacionporasignatura[[#Headers],[27448]:[Aux16]],"")</f>
        <v/>
      </c>
      <c r="BX35" s="7" t="str" cm="1">
        <f t="array" ref="BX35">_xlfn.XLOOKUP("O1",TablaAdaptacionporasignatura[[#This Row],[27448]:[Aux16]],TablaAdaptacionporasignatura[[#Headers],[27448]:[Aux16]],"")</f>
        <v/>
      </c>
      <c r="BY35" s="5" t="str" cm="1">
        <f t="array" ref="BY35">_xlfn.XLOOKUP("O2",TablaAdaptacionporasignatura[[#This Row],[27448]:[Aux16]],TablaAdaptacionporasignatura[[#Headers],[27448]:[Aux16]],"")</f>
        <v/>
      </c>
      <c r="BZ35" s="5" t="str" cm="1">
        <f t="array" ref="BZ35">_xlfn.XLOOKUP("O3",TablaAdaptacionporasignatura[[#This Row],[27448]:[Aux16]],TablaAdaptacionporasignatura[[#Headers],[27448]:[Aux16]],"")</f>
        <v/>
      </c>
      <c r="CA35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35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35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35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35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35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35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35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35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36" spans="3:87" x14ac:dyDescent="0.2">
      <c r="C36">
        <v>43</v>
      </c>
      <c r="D36" s="5" t="str">
        <f>_xlfn.XLOOKUP(TablaAdaptacionporasignatura[[#This Row],[ID Asig]],TablaDestino[ID Asig],TablaDestino[Módulo])</f>
        <v>Formación Específica en Tecnologías Marinas</v>
      </c>
      <c r="E36" t="str">
        <f>_xlfn.XLOOKUP(TablaAdaptacionporasignatura[[#This Row],[ID Asig]],TablaDestino[ID Asig],TablaDestino[ID Modulo])</f>
        <v>M3</v>
      </c>
      <c r="F36" s="30" t="s">
        <v>194</v>
      </c>
      <c r="G36" s="5" t="str">
        <f>_xlfn.XLOOKUP(TablaAdaptacionporasignatura[[#This Row],[ID Asig]],TablaDestino[ID Asig],TablaDestino[Asignatura])</f>
        <v xml:space="preserve">Tecnología Mecánica </v>
      </c>
      <c r="H36" s="5">
        <f>_xlfn.XLOOKUP(TablaAdaptacionporasignatura[[#This Row],[ID Asig]],TablaDestino[ID Asig],TablaDestino[Curso])</f>
        <v>4</v>
      </c>
      <c r="I36" s="5">
        <f>_xlfn.XLOOKUP(TablaAdaptacionporasignatura[[#This Row],[ID Asig]],TablaDestino[ID Asig],TablaDestino[Cuatr])</f>
        <v>1</v>
      </c>
      <c r="J36" s="5">
        <f>_xlfn.XLOOKUP(TablaAdaptacionporasignatura[[#This Row],[ID Asig]],TablaDestino[ID Asig],TablaDestino[ECTS])</f>
        <v>6</v>
      </c>
      <c r="K36" s="5" t="str">
        <f>_xlfn.XLOOKUP(TablaAdaptacionporasignatura[[#This Row],[ID Asig]],TablaDestino[ID Asig],TablaDestino[Tipo])</f>
        <v>Obligatoria</v>
      </c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 t="s">
        <v>35</v>
      </c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7" t="str" cm="1">
        <f t="array" ref="BS36">_xlfn.XLOOKUP("X",TablaAdaptacionporasignatura[[#This Row],[27448]:[Aux16]],TablaAdaptacionporasignatura[[#Headers],[27448]:[Aux16]],"")</f>
        <v>26047</v>
      </c>
      <c r="BT36" s="7" t="str" cm="1">
        <f t="array" ref="BT36">_xlfn.XLOOKUP("Y1",TablaAdaptacionporasignatura[[#This Row],[27448]:[Aux16]],TablaAdaptacionporasignatura[[#Headers],[27448]:[Aux16]],"")</f>
        <v/>
      </c>
      <c r="BU36" s="7" t="str" cm="1">
        <f t="array" ref="BU36">_xlfn.XLOOKUP("Y2",TablaAdaptacionporasignatura[[#This Row],[27448]:[Aux16]],TablaAdaptacionporasignatura[[#Headers],[27448]:[Aux16]],"")</f>
        <v/>
      </c>
      <c r="BV36" s="7" t="str" cm="1">
        <f t="array" ref="BV36">_xlfn.XLOOKUP("Y3",TablaAdaptacionporasignatura[[#This Row],[27448]:[Aux16]],TablaAdaptacionporasignatura[[#Headers],[27448]:[Aux16]],"")</f>
        <v/>
      </c>
      <c r="BW36" s="7" t="str" cm="1">
        <f t="array" ref="BW36">_xlfn.XLOOKUP("Y4",TablaAdaptacionporasignatura[[#This Row],[27448]:[Aux16]],TablaAdaptacionporasignatura[[#Headers],[27448]:[Aux16]],"")</f>
        <v/>
      </c>
      <c r="BX36" s="7" t="str" cm="1">
        <f t="array" ref="BX36">_xlfn.XLOOKUP("O1",TablaAdaptacionporasignatura[[#This Row],[27448]:[Aux16]],TablaAdaptacionporasignatura[[#Headers],[27448]:[Aux16]],"")</f>
        <v/>
      </c>
      <c r="BY36" s="5" t="str" cm="1">
        <f t="array" ref="BY36">_xlfn.XLOOKUP("O2",TablaAdaptacionporasignatura[[#This Row],[27448]:[Aux16]],TablaAdaptacionporasignatura[[#Headers],[27448]:[Aux16]],"")</f>
        <v/>
      </c>
      <c r="BZ36" s="5" t="str" cm="1">
        <f t="array" ref="BZ36">_xlfn.XLOOKUP("O3",TablaAdaptacionporasignatura[[#This Row],[27448]:[Aux16]],TablaAdaptacionporasignatura[[#Headers],[27448]:[Aux16]],"")</f>
        <v/>
      </c>
      <c r="CA36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36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36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36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36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36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36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36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36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37" spans="3:87" x14ac:dyDescent="0.2">
      <c r="C37">
        <v>44</v>
      </c>
      <c r="D37" s="5" t="str">
        <f>_xlfn.XLOOKUP(TablaAdaptacionporasignatura[[#This Row],[ID Asig]],TablaDestino[ID Asig],TablaDestino[Módulo])</f>
        <v>Formación Específica en Tecnologías Marinas</v>
      </c>
      <c r="E37" t="str">
        <f>_xlfn.XLOOKUP(TablaAdaptacionporasignatura[[#This Row],[ID Asig]],TablaDestino[ID Asig],TablaDestino[ID Modulo])</f>
        <v>M3</v>
      </c>
      <c r="F37" s="30" t="s">
        <v>196</v>
      </c>
      <c r="G37" s="5" t="str">
        <f>_xlfn.XLOOKUP(TablaAdaptacionporasignatura[[#This Row],[ID Asig]],TablaDestino[ID Asig],TablaDestino[Asignatura])</f>
        <v>Termotecnia y Mecánica de Fluidos</v>
      </c>
      <c r="H37" s="5">
        <f>_xlfn.XLOOKUP(TablaAdaptacionporasignatura[[#This Row],[ID Asig]],TablaDestino[ID Asig],TablaDestino[Curso])</f>
        <v>2</v>
      </c>
      <c r="I37" s="5">
        <f>_xlfn.XLOOKUP(TablaAdaptacionporasignatura[[#This Row],[ID Asig]],TablaDestino[ID Asig],TablaDestino[Cuatr])</f>
        <v>2</v>
      </c>
      <c r="J37" s="5">
        <f>_xlfn.XLOOKUP(TablaAdaptacionporasignatura[[#This Row],[ID Asig]],TablaDestino[ID Asig],TablaDestino[ECTS])</f>
        <v>6</v>
      </c>
      <c r="K37" s="5" t="str">
        <f>_xlfn.XLOOKUP(TablaAdaptacionporasignatura[[#This Row],[ID Asig]],TablaDestino[ID Asig],TablaDestino[Tipo])</f>
        <v>Obligatoria</v>
      </c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 t="s">
        <v>35</v>
      </c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7" t="str" cm="1">
        <f t="array" ref="BS37">_xlfn.XLOOKUP("X",TablaAdaptacionporasignatura[[#This Row],[27448]:[Aux16]],TablaAdaptacionporasignatura[[#Headers],[27448]:[Aux16]],"")</f>
        <v>27485</v>
      </c>
      <c r="BT37" s="7" t="str" cm="1">
        <f t="array" ref="BT37">_xlfn.XLOOKUP("Y1",TablaAdaptacionporasignatura[[#This Row],[27448]:[Aux16]],TablaAdaptacionporasignatura[[#Headers],[27448]:[Aux16]],"")</f>
        <v/>
      </c>
      <c r="BU37" s="7" t="str" cm="1">
        <f t="array" ref="BU37">_xlfn.XLOOKUP("Y2",TablaAdaptacionporasignatura[[#This Row],[27448]:[Aux16]],TablaAdaptacionporasignatura[[#Headers],[27448]:[Aux16]],"")</f>
        <v/>
      </c>
      <c r="BV37" s="7" t="str" cm="1">
        <f t="array" ref="BV37">_xlfn.XLOOKUP("Y3",TablaAdaptacionporasignatura[[#This Row],[27448]:[Aux16]],TablaAdaptacionporasignatura[[#Headers],[27448]:[Aux16]],"")</f>
        <v/>
      </c>
      <c r="BW37" s="7" t="str" cm="1">
        <f t="array" ref="BW37">_xlfn.XLOOKUP("Y4",TablaAdaptacionporasignatura[[#This Row],[27448]:[Aux16]],TablaAdaptacionporasignatura[[#Headers],[27448]:[Aux16]],"")</f>
        <v/>
      </c>
      <c r="BX37" s="7" t="str" cm="1">
        <f t="array" ref="BX37">_xlfn.XLOOKUP("O1",TablaAdaptacionporasignatura[[#This Row],[27448]:[Aux16]],TablaAdaptacionporasignatura[[#Headers],[27448]:[Aux16]],"")</f>
        <v/>
      </c>
      <c r="BY37" s="5" t="str" cm="1">
        <f t="array" ref="BY37">_xlfn.XLOOKUP("O2",TablaAdaptacionporasignatura[[#This Row],[27448]:[Aux16]],TablaAdaptacionporasignatura[[#Headers],[27448]:[Aux16]],"")</f>
        <v/>
      </c>
      <c r="BZ37" s="5" t="str" cm="1">
        <f t="array" ref="BZ37">_xlfn.XLOOKUP("O3",TablaAdaptacionporasignatura[[#This Row],[27448]:[Aux16]],TablaAdaptacionporasignatura[[#Headers],[27448]:[Aux16]],"")</f>
        <v/>
      </c>
      <c r="CA37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37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37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37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37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37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37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37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37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38" spans="3:87" x14ac:dyDescent="0.2">
      <c r="C38">
        <v>45</v>
      </c>
      <c r="D38" s="5" t="str">
        <f>_xlfn.XLOOKUP(TablaAdaptacionporasignatura[[#This Row],[ID Asig]],TablaDestino[ID Asig],TablaDestino[Módulo])</f>
        <v>Formación Específica en Tecnologías Marinas</v>
      </c>
      <c r="E38" t="str">
        <f>_xlfn.XLOOKUP(TablaAdaptacionporasignatura[[#This Row],[ID Asig]],TablaDestino[ID Asig],TablaDestino[ID Modulo])</f>
        <v>M3</v>
      </c>
      <c r="F38" s="30" t="s">
        <v>197</v>
      </c>
      <c r="G38" s="5" t="str">
        <f>_xlfn.XLOOKUP(TablaAdaptacionporasignatura[[#This Row],[ID Asig]],TablaDestino[ID Asig],TablaDestino[Asignatura])</f>
        <v>Mecánica y Resistencia de Materiales</v>
      </c>
      <c r="H38" s="5">
        <f>_xlfn.XLOOKUP(TablaAdaptacionporasignatura[[#This Row],[ID Asig]],TablaDestino[ID Asig],TablaDestino[Curso])</f>
        <v>2</v>
      </c>
      <c r="I38" s="5">
        <f>_xlfn.XLOOKUP(TablaAdaptacionporasignatura[[#This Row],[ID Asig]],TablaDestino[ID Asig],TablaDestino[Cuatr])</f>
        <v>2</v>
      </c>
      <c r="J38" s="5">
        <f>_xlfn.XLOOKUP(TablaAdaptacionporasignatura[[#This Row],[ID Asig]],TablaDestino[ID Asig],TablaDestino[ECTS])</f>
        <v>6</v>
      </c>
      <c r="K38" s="5" t="str">
        <f>_xlfn.XLOOKUP(TablaAdaptacionporasignatura[[#This Row],[ID Asig]],TablaDestino[ID Asig],TablaDestino[Tipo])</f>
        <v>Obligatoria</v>
      </c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">
        <v>35</v>
      </c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7" t="str" cm="1">
        <f t="array" ref="BS38">_xlfn.XLOOKUP("X",TablaAdaptacionporasignatura[[#This Row],[27448]:[Aux16]],TablaAdaptacionporasignatura[[#Headers],[27448]:[Aux16]],"")</f>
        <v>27484</v>
      </c>
      <c r="BT38" s="7" t="str" cm="1">
        <f t="array" ref="BT38">_xlfn.XLOOKUP("Y1",TablaAdaptacionporasignatura[[#This Row],[27448]:[Aux16]],TablaAdaptacionporasignatura[[#Headers],[27448]:[Aux16]],"")</f>
        <v/>
      </c>
      <c r="BU38" s="7" t="str" cm="1">
        <f t="array" ref="BU38">_xlfn.XLOOKUP("Y2",TablaAdaptacionporasignatura[[#This Row],[27448]:[Aux16]],TablaAdaptacionporasignatura[[#Headers],[27448]:[Aux16]],"")</f>
        <v/>
      </c>
      <c r="BV38" s="7" t="str" cm="1">
        <f t="array" ref="BV38">_xlfn.XLOOKUP("Y3",TablaAdaptacionporasignatura[[#This Row],[27448]:[Aux16]],TablaAdaptacionporasignatura[[#Headers],[27448]:[Aux16]],"")</f>
        <v/>
      </c>
      <c r="BW38" s="7" t="str" cm="1">
        <f t="array" ref="BW38">_xlfn.XLOOKUP("Y4",TablaAdaptacionporasignatura[[#This Row],[27448]:[Aux16]],TablaAdaptacionporasignatura[[#Headers],[27448]:[Aux16]],"")</f>
        <v/>
      </c>
      <c r="BX38" s="7" t="str" cm="1">
        <f t="array" ref="BX38">_xlfn.XLOOKUP("O1",TablaAdaptacionporasignatura[[#This Row],[27448]:[Aux16]],TablaAdaptacionporasignatura[[#Headers],[27448]:[Aux16]],"")</f>
        <v/>
      </c>
      <c r="BY38" s="5" t="str" cm="1">
        <f t="array" ref="BY38">_xlfn.XLOOKUP("O2",TablaAdaptacionporasignatura[[#This Row],[27448]:[Aux16]],TablaAdaptacionporasignatura[[#Headers],[27448]:[Aux16]],"")</f>
        <v/>
      </c>
      <c r="BZ38" s="5" t="str" cm="1">
        <f t="array" ref="BZ38">_xlfn.XLOOKUP("O3",TablaAdaptacionporasignatura[[#This Row],[27448]:[Aux16]],TablaAdaptacionporasignatura[[#Headers],[27448]:[Aux16]],"")</f>
        <v/>
      </c>
      <c r="CA38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38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38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38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38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38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38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38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38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39" spans="3:87" x14ac:dyDescent="0.2">
      <c r="C39">
        <v>46</v>
      </c>
      <c r="D39" s="5" t="str">
        <f>_xlfn.XLOOKUP(TablaAdaptacionporasignatura[[#This Row],[ID Asig]],TablaDestino[ID Asig],TablaDestino[Módulo])</f>
        <v>Formación Específica en Tecnologías Marinas</v>
      </c>
      <c r="E39" t="str">
        <f>_xlfn.XLOOKUP(TablaAdaptacionporasignatura[[#This Row],[ID Asig]],TablaDestino[ID Asig],TablaDestino[ID Modulo])</f>
        <v>M3</v>
      </c>
      <c r="F39" s="30" t="s">
        <v>199</v>
      </c>
      <c r="G39" s="5" t="str">
        <f>_xlfn.XLOOKUP(TablaAdaptacionporasignatura[[#This Row],[ID Asig]],TablaDestino[ID Asig],TablaDestino[Asignatura])</f>
        <v xml:space="preserve">Ciencia y Técnica de los Materiales </v>
      </c>
      <c r="H39" s="5">
        <f>_xlfn.XLOOKUP(TablaAdaptacionporasignatura[[#This Row],[ID Asig]],TablaDestino[ID Asig],TablaDestino[Curso])</f>
        <v>3</v>
      </c>
      <c r="I39" s="5">
        <f>_xlfn.XLOOKUP(TablaAdaptacionporasignatura[[#This Row],[ID Asig]],TablaDestino[ID Asig],TablaDestino[Cuatr])</f>
        <v>1</v>
      </c>
      <c r="J39" s="5">
        <f>_xlfn.XLOOKUP(TablaAdaptacionporasignatura[[#This Row],[ID Asig]],TablaDestino[ID Asig],TablaDestino[ECTS])</f>
        <v>6</v>
      </c>
      <c r="K39" s="5" t="str">
        <f>_xlfn.XLOOKUP(TablaAdaptacionporasignatura[[#This Row],[ID Asig]],TablaDestino[ID Asig],TablaDestino[Tipo])</f>
        <v>Obligatoria</v>
      </c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22"/>
      <c r="AI39" s="5"/>
      <c r="AJ39" s="5" t="s">
        <v>35</v>
      </c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7" t="str" cm="1">
        <f t="array" ref="BS39">_xlfn.XLOOKUP("X",TablaAdaptacionporasignatura[[#This Row],[27448]:[Aux16]],TablaAdaptacionporasignatura[[#Headers],[27448]:[Aux16]],"")</f>
        <v>27486</v>
      </c>
      <c r="BT39" s="7" t="str" cm="1">
        <f t="array" ref="BT39">_xlfn.XLOOKUP("Y1",TablaAdaptacionporasignatura[[#This Row],[27448]:[Aux16]],TablaAdaptacionporasignatura[[#Headers],[27448]:[Aux16]],"")</f>
        <v/>
      </c>
      <c r="BU39" s="7" t="str" cm="1">
        <f t="array" ref="BU39">_xlfn.XLOOKUP("Y2",TablaAdaptacionporasignatura[[#This Row],[27448]:[Aux16]],TablaAdaptacionporasignatura[[#Headers],[27448]:[Aux16]],"")</f>
        <v/>
      </c>
      <c r="BV39" s="7" t="str" cm="1">
        <f t="array" ref="BV39">_xlfn.XLOOKUP("Y3",TablaAdaptacionporasignatura[[#This Row],[27448]:[Aux16]],TablaAdaptacionporasignatura[[#Headers],[27448]:[Aux16]],"")</f>
        <v/>
      </c>
      <c r="BW39" s="7" t="str" cm="1">
        <f t="array" ref="BW39">_xlfn.XLOOKUP("Y4",TablaAdaptacionporasignatura[[#This Row],[27448]:[Aux16]],TablaAdaptacionporasignatura[[#Headers],[27448]:[Aux16]],"")</f>
        <v/>
      </c>
      <c r="BX39" s="7" t="str" cm="1">
        <f t="array" ref="BX39">_xlfn.XLOOKUP("O1",TablaAdaptacionporasignatura[[#This Row],[27448]:[Aux16]],TablaAdaptacionporasignatura[[#Headers],[27448]:[Aux16]],"")</f>
        <v/>
      </c>
      <c r="BY39" s="5" t="str" cm="1">
        <f t="array" ref="BY39">_xlfn.XLOOKUP("O2",TablaAdaptacionporasignatura[[#This Row],[27448]:[Aux16]],TablaAdaptacionporasignatura[[#Headers],[27448]:[Aux16]],"")</f>
        <v/>
      </c>
      <c r="BZ39" s="5" t="str" cm="1">
        <f t="array" ref="BZ39">_xlfn.XLOOKUP("O3",TablaAdaptacionporasignatura[[#This Row],[27448]:[Aux16]],TablaAdaptacionporasignatura[[#Headers],[27448]:[Aux16]],"")</f>
        <v/>
      </c>
      <c r="CA39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39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39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39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39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39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39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39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39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40" spans="3:87" x14ac:dyDescent="0.2">
      <c r="C40">
        <v>22</v>
      </c>
      <c r="D40" s="5" t="str">
        <f>_xlfn.XLOOKUP(TablaAdaptacionporasignatura[[#This Row],[ID Asig]],TablaDestino[ID Asig],TablaDestino[Módulo])</f>
        <v>Formación Específica en Tecnologías Marinas</v>
      </c>
      <c r="E40" t="str">
        <f>_xlfn.XLOOKUP(TablaAdaptacionporasignatura[[#This Row],[ID Asig]],TablaDestino[ID Asig],TablaDestino[ID Modulo])</f>
        <v>M3</v>
      </c>
      <c r="F40" s="30" t="s">
        <v>201</v>
      </c>
      <c r="G40" s="5" t="str">
        <f>_xlfn.XLOOKUP(TablaAdaptacionporasignatura[[#This Row],[ID Asig]],TablaDestino[ID Asig],TablaDestino[Asignatura])</f>
        <v>Operaciones Avanzadas en Buques Tanque</v>
      </c>
      <c r="H40" s="5">
        <f>_xlfn.XLOOKUP(TablaAdaptacionporasignatura[[#This Row],[ID Asig]],TablaDestino[ID Asig],TablaDestino[Curso])</f>
        <v>3</v>
      </c>
      <c r="I40" s="5">
        <f>_xlfn.XLOOKUP(TablaAdaptacionporasignatura[[#This Row],[ID Asig]],TablaDestino[ID Asig],TablaDestino[Cuatr])</f>
        <v>0</v>
      </c>
      <c r="J40" s="5">
        <f>_xlfn.XLOOKUP(TablaAdaptacionporasignatura[[#This Row],[ID Asig]],TablaDestino[ID Asig],TablaDestino[ECTS])</f>
        <v>12</v>
      </c>
      <c r="K40" s="5" t="str">
        <f>_xlfn.XLOOKUP(TablaAdaptacionporasignatura[[#This Row],[ID Asig]],TablaDestino[ID Asig],TablaDestino[Tipo])</f>
        <v>Obligatoria</v>
      </c>
      <c r="L40" s="5"/>
      <c r="M40" s="5"/>
      <c r="N40" s="5" t="s">
        <v>35</v>
      </c>
      <c r="O40" s="5"/>
      <c r="P40" s="5"/>
      <c r="Q40" s="5"/>
      <c r="R40" s="5"/>
      <c r="S40" s="5"/>
      <c r="T40" s="5"/>
      <c r="U40" s="5"/>
      <c r="V40" s="5"/>
      <c r="W40" s="5" t="s">
        <v>279</v>
      </c>
      <c r="X40" s="5" t="s">
        <v>280</v>
      </c>
      <c r="Y40" s="5"/>
      <c r="Z40" s="5" t="s">
        <v>281</v>
      </c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 t="s">
        <v>282</v>
      </c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7" t="str" cm="1">
        <f t="array" ref="BS40">_xlfn.XLOOKUP("X",TablaAdaptacionporasignatura[[#This Row],[27448]:[Aux16]],TablaAdaptacionporasignatura[[#Headers],[27448]:[Aux16]],"")</f>
        <v>27447</v>
      </c>
      <c r="BT40" s="7" t="str" cm="1">
        <f t="array" ref="BT40">_xlfn.XLOOKUP("Y1",TablaAdaptacionporasignatura[[#This Row],[27448]:[Aux16]],TablaAdaptacionporasignatura[[#Headers],[27448]:[Aux16]],"")</f>
        <v>27456</v>
      </c>
      <c r="BU40" s="7" t="str" cm="1">
        <f t="array" ref="BU40">_xlfn.XLOOKUP("Y2",TablaAdaptacionporasignatura[[#This Row],[27448]:[Aux16]],TablaAdaptacionporasignatura[[#Headers],[27448]:[Aux16]],"")</f>
        <v>27453</v>
      </c>
      <c r="BV40" s="7" t="str" cm="1">
        <f t="array" ref="BV40">_xlfn.XLOOKUP("Y3",TablaAdaptacionporasignatura[[#This Row],[27448]:[Aux16]],TablaAdaptacionporasignatura[[#Headers],[27448]:[Aux16]],"")</f>
        <v>27457</v>
      </c>
      <c r="BW40" s="7" t="str" cm="1">
        <f t="array" ref="BW40">_xlfn.XLOOKUP("Y4",TablaAdaptacionporasignatura[[#This Row],[27448]:[Aux16]],TablaAdaptacionporasignatura[[#Headers],[27448]:[Aux16]],"")</f>
        <v>27489</v>
      </c>
      <c r="BX40" s="7" t="str" cm="1">
        <f t="array" ref="BX40">_xlfn.XLOOKUP("O1",TablaAdaptacionporasignatura[[#This Row],[27448]:[Aux16]],TablaAdaptacionporasignatura[[#Headers],[27448]:[Aux16]],"")</f>
        <v/>
      </c>
      <c r="BY40" s="5" t="str" cm="1">
        <f t="array" ref="BY40">_xlfn.XLOOKUP("O2",TablaAdaptacionporasignatura[[#This Row],[27448]:[Aux16]],TablaAdaptacionporasignatura[[#Headers],[27448]:[Aux16]],"")</f>
        <v/>
      </c>
      <c r="BZ40" s="5" t="str" cm="1">
        <f t="array" ref="BZ40">_xlfn.XLOOKUP("O3",TablaAdaptacionporasignatura[[#This Row],[27448]:[Aux16]],TablaAdaptacionporasignatura[[#Headers],[27448]:[Aux16]],"")</f>
        <v/>
      </c>
      <c r="CA40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40" s="5" t="str">
        <f>IF(TablaAdaptacionporasignatura[[#This Row],[Asignatura Secundaria Y1]]="","",_xlfn.XLOOKUP(VALUE(TablaAdaptacionporasignatura[[#This Row],[Asignatura Secundaria Y1]]),TablaOrigen[Cod. As.],TablaOrigen[Asignatura a procesar?],""))</f>
        <v>NO</v>
      </c>
      <c r="CC40" s="5" t="str">
        <f>IF(TablaAdaptacionporasignatura[[#This Row],[Asignatura Secundaria Y2]]="","",_xlfn.XLOOKUP(VALUE(TablaAdaptacionporasignatura[[#This Row],[Asignatura Secundaria Y2]]),TablaOrigen[Cod. As.],TablaOrigen[Asignatura a procesar?],""))</f>
        <v>NO</v>
      </c>
      <c r="CD40" s="5" t="str">
        <f>IF(TablaAdaptacionporasignatura[[#This Row],[Asignatura Secundaria Y3]]="","",_xlfn.XLOOKUP(VALUE(TablaAdaptacionporasignatura[[#This Row],[Asignatura Secundaria Y3]]),TablaOrigen[Cod. As.],TablaOrigen[Asignatura a procesar?],""))</f>
        <v>NO</v>
      </c>
      <c r="CE40" s="5" t="str">
        <f>IF(TablaAdaptacionporasignatura[[#This Row],[Asignatura Secundaria  Y4]]="","",_xlfn.XLOOKUP(VALUE(TablaAdaptacionporasignatura[[#This Row],[Asignatura Secundaria  Y4]]),TablaOrigen[Cod. As.],TablaOrigen[Asignatura a procesar?],""))</f>
        <v>NO</v>
      </c>
      <c r="CF40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40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40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40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41" spans="3:87" x14ac:dyDescent="0.2">
      <c r="C41">
        <v>23</v>
      </c>
      <c r="D41" s="5" t="str">
        <f>_xlfn.XLOOKUP(TablaAdaptacionporasignatura[[#This Row],[ID Asig]],TablaDestino[ID Asig],TablaDestino[Módulo])</f>
        <v>Optatividad General</v>
      </c>
      <c r="E41" t="str">
        <f>_xlfn.XLOOKUP(TablaAdaptacionporasignatura[[#This Row],[ID Asig]],TablaDestino[ID Asig],TablaDestino[ID Modulo])</f>
        <v>M4</v>
      </c>
      <c r="F41" s="30" t="s">
        <v>204</v>
      </c>
      <c r="G41" s="5" t="str">
        <f>_xlfn.XLOOKUP(TablaAdaptacionporasignatura[[#This Row],[ID Asig]],TablaDestino[ID Asig],TablaDestino[Asignatura])</f>
        <v>Ampliación de Derecho Marítimo</v>
      </c>
      <c r="H41" s="5">
        <f>_xlfn.XLOOKUP(TablaAdaptacionporasignatura[[#This Row],[ID Asig]],TablaDestino[ID Asig],TablaDestino[Curso])</f>
        <v>4</v>
      </c>
      <c r="I41" s="5">
        <f>_xlfn.XLOOKUP(TablaAdaptacionporasignatura[[#This Row],[ID Asig]],TablaDestino[ID Asig],TablaDestino[Cuatr])</f>
        <v>2</v>
      </c>
      <c r="J41" s="5">
        <f>_xlfn.XLOOKUP(TablaAdaptacionporasignatura[[#This Row],[ID Asig]],TablaDestino[ID Asig],TablaDestino[ECTS])</f>
        <v>6</v>
      </c>
      <c r="K41" s="5" t="str">
        <f>_xlfn.XLOOKUP(TablaAdaptacionporasignatura[[#This Row],[ID Asig]],TablaDestino[ID Asig],TablaDestino[Tipo])</f>
        <v>Optativa</v>
      </c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">
        <v>35</v>
      </c>
      <c r="AV41" s="5" t="s">
        <v>296</v>
      </c>
      <c r="AW41" s="5" t="s">
        <v>354</v>
      </c>
      <c r="AX41" s="5"/>
      <c r="AY41" s="5" t="s">
        <v>355</v>
      </c>
      <c r="AZ41" s="5"/>
      <c r="BA41" s="5"/>
      <c r="BB41" s="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7" t="str" cm="1">
        <f t="array" ref="BS41">_xlfn.XLOOKUP("X",TablaAdaptacionporasignatura[[#This Row],[27448]:[Aux16]],TablaAdaptacionporasignatura[[#Headers],[27448]:[Aux16]],"")</f>
        <v>27504</v>
      </c>
      <c r="BT41" s="7" t="str" cm="1">
        <f t="array" ref="BT41">_xlfn.XLOOKUP("Y1",TablaAdaptacionporasignatura[[#This Row],[27448]:[Aux16]],TablaAdaptacionporasignatura[[#Headers],[27448]:[Aux16]],"")</f>
        <v/>
      </c>
      <c r="BU41" s="7" t="str" cm="1">
        <f t="array" ref="BU41">_xlfn.XLOOKUP("Y2",TablaAdaptacionporasignatura[[#This Row],[27448]:[Aux16]],TablaAdaptacionporasignatura[[#Headers],[27448]:[Aux16]],"")</f>
        <v/>
      </c>
      <c r="BV41" s="7" t="str" cm="1">
        <f t="array" ref="BV41">_xlfn.XLOOKUP("Y3",TablaAdaptacionporasignatura[[#This Row],[27448]:[Aux16]],TablaAdaptacionporasignatura[[#Headers],[27448]:[Aux16]],"")</f>
        <v/>
      </c>
      <c r="BW41" s="7" t="str" cm="1">
        <f t="array" ref="BW41">_xlfn.XLOOKUP("Y4",TablaAdaptacionporasignatura[[#This Row],[27448]:[Aux16]],TablaAdaptacionporasignatura[[#Headers],[27448]:[Aux16]],"")</f>
        <v/>
      </c>
      <c r="BX41" s="7" t="str" cm="1">
        <f t="array" ref="BX41">_xlfn.XLOOKUP("O1",TablaAdaptacionporasignatura[[#This Row],[27448]:[Aux16]],TablaAdaptacionporasignatura[[#Headers],[27448]:[Aux16]],"")</f>
        <v>27500</v>
      </c>
      <c r="BY41" s="5" t="str" cm="1">
        <f t="array" ref="BY41">_xlfn.XLOOKUP("O2",TablaAdaptacionporasignatura[[#This Row],[27448]:[Aux16]],TablaAdaptacionporasignatura[[#Headers],[27448]:[Aux16]],"")</f>
        <v>27498</v>
      </c>
      <c r="BZ41" s="5" t="str" cm="1">
        <f t="array" ref="BZ41">_xlfn.XLOOKUP("O3",TablaAdaptacionporasignatura[[#This Row],[27448]:[Aux16]],TablaAdaptacionporasignatura[[#Headers],[27448]:[Aux16]],"")</f>
        <v>27501</v>
      </c>
      <c r="CA41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41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41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41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41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41" s="5" t="str">
        <f>IF(TablaAdaptacionporasignatura[[#This Row],[Asignatura Secundaria O1]]="","",_xlfn.XLOOKUP(VALUE(TablaAdaptacionporasignatura[[#This Row],[Asignatura Secundaria O1]]),TablaOrigen[Cod. As.],TablaOrigen[Asignatura a procesar?],""))</f>
        <v>NO</v>
      </c>
      <c r="CG41" s="5" t="str">
        <f>IF(TablaAdaptacionporasignatura[[#This Row],[Asignatura Secundaria O2]]="","",_xlfn.XLOOKUP(VALUE(TablaAdaptacionporasignatura[[#This Row],[Asignatura Secundaria O2]]),TablaOrigen[Cod. As.],TablaOrigen[Asignatura a procesar?],""))</f>
        <v>NO</v>
      </c>
      <c r="CH41" s="5" t="str">
        <f>IF(TablaAdaptacionporasignatura[[#This Row],[Asignatura Secundaria O3]]="","",_xlfn.XLOOKUP(VALUE(TablaAdaptacionporasignatura[[#This Row],[Asignatura Secundaria O3]]),TablaOrigen[Cod. As.],TablaOrigen[Asignatura a procesar?],""))</f>
        <v>NO</v>
      </c>
      <c r="CI41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42" spans="3:87" x14ac:dyDescent="0.2">
      <c r="C42">
        <v>24</v>
      </c>
      <c r="D42" s="5" t="str">
        <f>_xlfn.XLOOKUP(TablaAdaptacionporasignatura[[#This Row],[ID Asig]],TablaDestino[ID Asig],TablaDestino[Módulo])</f>
        <v>Optatividad General</v>
      </c>
      <c r="E42" t="str">
        <f>_xlfn.XLOOKUP(TablaAdaptacionporasignatura[[#This Row],[ID Asig]],TablaDestino[ID Asig],TablaDestino[ID Modulo])</f>
        <v>M4</v>
      </c>
      <c r="F42" s="30" t="s">
        <v>206</v>
      </c>
      <c r="G42" s="5" t="str">
        <f>_xlfn.XLOOKUP(TablaAdaptacionporasignatura[[#This Row],[ID Asig]],TablaDestino[ID Asig],TablaDestino[Asignatura])</f>
        <v>English in the  maritime workplace</v>
      </c>
      <c r="H42" s="5">
        <f>_xlfn.XLOOKUP(TablaAdaptacionporasignatura[[#This Row],[ID Asig]],TablaDestino[ID Asig],TablaDestino[Curso])</f>
        <v>4</v>
      </c>
      <c r="I42" s="5">
        <f>_xlfn.XLOOKUP(TablaAdaptacionporasignatura[[#This Row],[ID Asig]],TablaDestino[ID Asig],TablaDestino[Cuatr])</f>
        <v>2</v>
      </c>
      <c r="J42" s="5">
        <f>_xlfn.XLOOKUP(TablaAdaptacionporasignatura[[#This Row],[ID Asig]],TablaDestino[ID Asig],TablaDestino[ECTS])</f>
        <v>6</v>
      </c>
      <c r="K42" s="5" t="str">
        <f>_xlfn.XLOOKUP(TablaAdaptacionporasignatura[[#This Row],[ID Asig]],TablaDestino[ID Asig],TablaDestino[Tipo])</f>
        <v>Optativa</v>
      </c>
      <c r="L42" s="5"/>
      <c r="M42" s="5"/>
      <c r="N42" s="5"/>
      <c r="O42" s="5"/>
      <c r="P42" s="5"/>
      <c r="Q42" s="5"/>
      <c r="R42" s="5"/>
      <c r="S42" s="5" t="s">
        <v>35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7" t="str" cm="1">
        <f t="array" ref="BS42">_xlfn.XLOOKUP("X",TablaAdaptacionporasignatura[[#This Row],[27448]:[Aux16]],TablaAdaptacionporasignatura[[#Headers],[27448]:[Aux16]],"")</f>
        <v>27452</v>
      </c>
      <c r="BT42" s="7" t="str" cm="1">
        <f t="array" ref="BT42">_xlfn.XLOOKUP("Y1",TablaAdaptacionporasignatura[[#This Row],[27448]:[Aux16]],TablaAdaptacionporasignatura[[#Headers],[27448]:[Aux16]],"")</f>
        <v/>
      </c>
      <c r="BU42" s="7" t="str" cm="1">
        <f t="array" ref="BU42">_xlfn.XLOOKUP("Y2",TablaAdaptacionporasignatura[[#This Row],[27448]:[Aux16]],TablaAdaptacionporasignatura[[#Headers],[27448]:[Aux16]],"")</f>
        <v/>
      </c>
      <c r="BV42" s="7" t="str" cm="1">
        <f t="array" ref="BV42">_xlfn.XLOOKUP("Y3",TablaAdaptacionporasignatura[[#This Row],[27448]:[Aux16]],TablaAdaptacionporasignatura[[#Headers],[27448]:[Aux16]],"")</f>
        <v/>
      </c>
      <c r="BW42" s="7" t="str" cm="1">
        <f t="array" ref="BW42">_xlfn.XLOOKUP("Y4",TablaAdaptacionporasignatura[[#This Row],[27448]:[Aux16]],TablaAdaptacionporasignatura[[#Headers],[27448]:[Aux16]],"")</f>
        <v/>
      </c>
      <c r="BX42" s="7" t="str" cm="1">
        <f t="array" ref="BX42">_xlfn.XLOOKUP("O1",TablaAdaptacionporasignatura[[#This Row],[27448]:[Aux16]],TablaAdaptacionporasignatura[[#Headers],[27448]:[Aux16]],"")</f>
        <v/>
      </c>
      <c r="BY42" s="5" t="str" cm="1">
        <f t="array" ref="BY42">_xlfn.XLOOKUP("O2",TablaAdaptacionporasignatura[[#This Row],[27448]:[Aux16]],TablaAdaptacionporasignatura[[#Headers],[27448]:[Aux16]],"")</f>
        <v/>
      </c>
      <c r="BZ42" s="5" t="str" cm="1">
        <f t="array" ref="BZ42">_xlfn.XLOOKUP("O3",TablaAdaptacionporasignatura[[#This Row],[27448]:[Aux16]],TablaAdaptacionporasignatura[[#Headers],[27448]:[Aux16]],"")</f>
        <v/>
      </c>
      <c r="CA42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42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42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42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42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42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42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42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42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43" spans="3:87" x14ac:dyDescent="0.2">
      <c r="C43">
        <v>25</v>
      </c>
      <c r="D43" s="5" t="str">
        <f>_xlfn.XLOOKUP(TablaAdaptacionporasignatura[[#This Row],[ID Asig]],TablaDestino[ID Asig],TablaDestino[Módulo])</f>
        <v>Optatividad General</v>
      </c>
      <c r="E43" t="str">
        <f>_xlfn.XLOOKUP(TablaAdaptacionporasignatura[[#This Row],[ID Asig]],TablaDestino[ID Asig],TablaDestino[ID Modulo])</f>
        <v>M4</v>
      </c>
      <c r="F43" s="30" t="s">
        <v>208</v>
      </c>
      <c r="G43" s="5" t="str">
        <f>_xlfn.XLOOKUP(TablaAdaptacionporasignatura[[#This Row],[ID Asig]],TablaDestino[ID Asig],TablaDestino[Asignatura])</f>
        <v>Prevención de Riesgos Laborales, Liderazgo y Trabajo en equipo a bordo de los buques</v>
      </c>
      <c r="H43" s="5">
        <f>_xlfn.XLOOKUP(TablaAdaptacionporasignatura[[#This Row],[ID Asig]],TablaDestino[ID Asig],TablaDestino[Curso])</f>
        <v>4</v>
      </c>
      <c r="I43" s="5">
        <f>_xlfn.XLOOKUP(TablaAdaptacionporasignatura[[#This Row],[ID Asig]],TablaDestino[ID Asig],TablaDestino[Cuatr])</f>
        <v>1</v>
      </c>
      <c r="J43" s="5">
        <f>_xlfn.XLOOKUP(TablaAdaptacionporasignatura[[#This Row],[ID Asig]],TablaDestino[ID Asig],TablaDestino[ECTS])</f>
        <v>6</v>
      </c>
      <c r="K43" s="5" t="str">
        <f>_xlfn.XLOOKUP(TablaAdaptacionporasignatura[[#This Row],[ID Asig]],TablaDestino[ID Asig],TablaDestino[Tipo])</f>
        <v>Optativa</v>
      </c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 t="s">
        <v>35</v>
      </c>
      <c r="AT43" s="5" t="s">
        <v>296</v>
      </c>
      <c r="AU43" s="5"/>
      <c r="AV43" s="5"/>
      <c r="AW43" s="5"/>
      <c r="AX43" s="5"/>
      <c r="AY43" s="5"/>
      <c r="AZ43" s="5"/>
      <c r="BA43" s="5"/>
      <c r="BB43" s="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7" t="str" cm="1">
        <f t="array" ref="BS43">_xlfn.XLOOKUP("X",TablaAdaptacionporasignatura[[#This Row],[27448]:[Aux16]],TablaAdaptacionporasignatura[[#Headers],[27448]:[Aux16]],"")</f>
        <v>27503</v>
      </c>
      <c r="BT43" s="7" t="str" cm="1">
        <f t="array" ref="BT43">_xlfn.XLOOKUP("Y1",TablaAdaptacionporasignatura[[#This Row],[27448]:[Aux16]],TablaAdaptacionporasignatura[[#Headers],[27448]:[Aux16]],"")</f>
        <v/>
      </c>
      <c r="BU43" s="7" t="str" cm="1">
        <f t="array" ref="BU43">_xlfn.XLOOKUP("Y2",TablaAdaptacionporasignatura[[#This Row],[27448]:[Aux16]],TablaAdaptacionporasignatura[[#Headers],[27448]:[Aux16]],"")</f>
        <v/>
      </c>
      <c r="BV43" s="7" t="str" cm="1">
        <f t="array" ref="BV43">_xlfn.XLOOKUP("Y3",TablaAdaptacionporasignatura[[#This Row],[27448]:[Aux16]],TablaAdaptacionporasignatura[[#Headers],[27448]:[Aux16]],"")</f>
        <v/>
      </c>
      <c r="BW43" s="7" t="str" cm="1">
        <f t="array" ref="BW43">_xlfn.XLOOKUP("Y4",TablaAdaptacionporasignatura[[#This Row],[27448]:[Aux16]],TablaAdaptacionporasignatura[[#Headers],[27448]:[Aux16]],"")</f>
        <v/>
      </c>
      <c r="BX43" s="7" t="str" cm="1">
        <f t="array" ref="BX43">_xlfn.XLOOKUP("O1",TablaAdaptacionporasignatura[[#This Row],[27448]:[Aux16]],TablaAdaptacionporasignatura[[#Headers],[27448]:[Aux16]],"")</f>
        <v>27499</v>
      </c>
      <c r="BY43" s="5" t="str" cm="1">
        <f t="array" ref="BY43">_xlfn.XLOOKUP("O2",TablaAdaptacionporasignatura[[#This Row],[27448]:[Aux16]],TablaAdaptacionporasignatura[[#Headers],[27448]:[Aux16]],"")</f>
        <v/>
      </c>
      <c r="BZ43" s="5" t="str" cm="1">
        <f t="array" ref="BZ43">_xlfn.XLOOKUP("O3",TablaAdaptacionporasignatura[[#This Row],[27448]:[Aux16]],TablaAdaptacionporasignatura[[#Headers],[27448]:[Aux16]],"")</f>
        <v/>
      </c>
      <c r="CA43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43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43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43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43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43" s="5" t="str">
        <f>IF(TablaAdaptacionporasignatura[[#This Row],[Asignatura Secundaria O1]]="","",_xlfn.XLOOKUP(VALUE(TablaAdaptacionporasignatura[[#This Row],[Asignatura Secundaria O1]]),TablaOrigen[Cod. As.],TablaOrigen[Asignatura a procesar?],""))</f>
        <v>NO</v>
      </c>
      <c r="CG43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43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43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44" spans="3:87" x14ac:dyDescent="0.2">
      <c r="C44">
        <v>26</v>
      </c>
      <c r="D44" s="5" t="str">
        <f>_xlfn.XLOOKUP(TablaAdaptacionporasignatura[[#This Row],[ID Asig]],TablaDestino[ID Asig],TablaDestino[Módulo])</f>
        <v>Optatividad General</v>
      </c>
      <c r="E44" t="str">
        <f>_xlfn.XLOOKUP(TablaAdaptacionporasignatura[[#This Row],[ID Asig]],TablaDestino[ID Asig],TablaDestino[ID Modulo])</f>
        <v>M4</v>
      </c>
      <c r="F44" s="30" t="s">
        <v>210</v>
      </c>
      <c r="G44" s="5" t="str">
        <f>_xlfn.XLOOKUP(TablaAdaptacionporasignatura[[#This Row],[ID Asig]],TablaDestino[ID Asig],TablaDestino[Asignatura])</f>
        <v>Prácticas en Buque</v>
      </c>
      <c r="H44" s="5">
        <f>_xlfn.XLOOKUP(TablaAdaptacionporasignatura[[#This Row],[ID Asig]],TablaDestino[ID Asig],TablaDestino[Curso])</f>
        <v>4</v>
      </c>
      <c r="I44" s="5">
        <f>_xlfn.XLOOKUP(TablaAdaptacionporasignatura[[#This Row],[ID Asig]],TablaDestino[ID Asig],TablaDestino[Cuatr])</f>
        <v>2</v>
      </c>
      <c r="J44" s="5">
        <f>_xlfn.XLOOKUP(TablaAdaptacionporasignatura[[#This Row],[ID Asig]],TablaDestino[ID Asig],TablaDestino[ECTS])</f>
        <v>18</v>
      </c>
      <c r="K44" s="5" t="str">
        <f>_xlfn.XLOOKUP(TablaAdaptacionporasignatura[[#This Row],[ID Asig]],TablaDestino[ID Asig],TablaDestino[Tipo])</f>
        <v>Optativa</v>
      </c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 t="s">
        <v>35</v>
      </c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7" t="str" cm="1">
        <f t="array" ref="BS44">_xlfn.XLOOKUP("X",TablaAdaptacionporasignatura[[#This Row],[27448]:[Aux16]],TablaAdaptacionporasignatura[[#Headers],[27448]:[Aux16]],"")</f>
        <v>27506</v>
      </c>
      <c r="BT44" s="7" t="str" cm="1">
        <f t="array" ref="BT44">_xlfn.XLOOKUP("Y1",TablaAdaptacionporasignatura[[#This Row],[27448]:[Aux16]],TablaAdaptacionporasignatura[[#Headers],[27448]:[Aux16]],"")</f>
        <v/>
      </c>
      <c r="BU44" s="7" t="str" cm="1">
        <f t="array" ref="BU44">_xlfn.XLOOKUP("Y2",TablaAdaptacionporasignatura[[#This Row],[27448]:[Aux16]],TablaAdaptacionporasignatura[[#Headers],[27448]:[Aux16]],"")</f>
        <v/>
      </c>
      <c r="BV44" s="7" t="str" cm="1">
        <f t="array" ref="BV44">_xlfn.XLOOKUP("Y3",TablaAdaptacionporasignatura[[#This Row],[27448]:[Aux16]],TablaAdaptacionporasignatura[[#Headers],[27448]:[Aux16]],"")</f>
        <v/>
      </c>
      <c r="BW44" s="7" t="str" cm="1">
        <f t="array" ref="BW44">_xlfn.XLOOKUP("Y4",TablaAdaptacionporasignatura[[#This Row],[27448]:[Aux16]],TablaAdaptacionporasignatura[[#Headers],[27448]:[Aux16]],"")</f>
        <v/>
      </c>
      <c r="BX44" s="7" t="str" cm="1">
        <f t="array" ref="BX44">_xlfn.XLOOKUP("O1",TablaAdaptacionporasignatura[[#This Row],[27448]:[Aux16]],TablaAdaptacionporasignatura[[#Headers],[27448]:[Aux16]],"")</f>
        <v/>
      </c>
      <c r="BY44" s="5" t="str" cm="1">
        <f t="array" ref="BY44">_xlfn.XLOOKUP("O2",TablaAdaptacionporasignatura[[#This Row],[27448]:[Aux16]],TablaAdaptacionporasignatura[[#Headers],[27448]:[Aux16]],"")</f>
        <v/>
      </c>
      <c r="BZ44" s="5" t="str" cm="1">
        <f t="array" ref="BZ44">_xlfn.XLOOKUP("O3",TablaAdaptacionporasignatura[[#This Row],[27448]:[Aux16]],TablaAdaptacionporasignatura[[#Headers],[27448]:[Aux16]],"")</f>
        <v/>
      </c>
      <c r="CA44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44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44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44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44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44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44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44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44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45" spans="3:87" x14ac:dyDescent="0.2">
      <c r="C45">
        <v>27</v>
      </c>
      <c r="D45" s="5" t="str">
        <f>_xlfn.XLOOKUP(TablaAdaptacionporasignatura[[#This Row],[ID Asig]],TablaDestino[ID Asig],TablaDestino[Módulo])</f>
        <v>Optatividad General</v>
      </c>
      <c r="E45" t="str">
        <f>_xlfn.XLOOKUP(TablaAdaptacionporasignatura[[#This Row],[ID Asig]],TablaDestino[ID Asig],TablaDestino[ID Modulo])</f>
        <v>M4</v>
      </c>
      <c r="F45" s="30" t="s">
        <v>212</v>
      </c>
      <c r="G45" s="5" t="str">
        <f>_xlfn.XLOOKUP(TablaAdaptacionporasignatura[[#This Row],[ID Asig]],TablaDestino[ID Asig],TablaDestino[Asignatura])</f>
        <v>Comunicación científico-técnica escrita en Euskera</v>
      </c>
      <c r="H45" s="5">
        <f>_xlfn.XLOOKUP(TablaAdaptacionporasignatura[[#This Row],[ID Asig]],TablaDestino[ID Asig],TablaDestino[Curso])</f>
        <v>4</v>
      </c>
      <c r="I45" s="5">
        <f>_xlfn.XLOOKUP(TablaAdaptacionporasignatura[[#This Row],[ID Asig]],TablaDestino[ID Asig],TablaDestino[Cuatr])</f>
        <v>1</v>
      </c>
      <c r="J45" s="5">
        <f>_xlfn.XLOOKUP(TablaAdaptacionporasignatura[[#This Row],[ID Asig]],TablaDestino[ID Asig],TablaDestino[ECTS])</f>
        <v>6</v>
      </c>
      <c r="K45" s="5" t="str">
        <f>_xlfn.XLOOKUP(TablaAdaptacionporasignatura[[#This Row],[ID Asig]],TablaDestino[ID Asig],TablaDestino[Tipo])</f>
        <v>Optativa</v>
      </c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 t="s">
        <v>35</v>
      </c>
      <c r="BA45" s="5"/>
      <c r="BB45" s="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7" t="str" cm="1">
        <f t="array" ref="BS45">_xlfn.XLOOKUP("X",TablaAdaptacionporasignatura[[#This Row],[27448]:[Aux16]],TablaAdaptacionporasignatura[[#Headers],[27448]:[Aux16]],"")</f>
        <v>28278</v>
      </c>
      <c r="BT45" s="7" t="str" cm="1">
        <f t="array" ref="BT45">_xlfn.XLOOKUP("Y1",TablaAdaptacionporasignatura[[#This Row],[27448]:[Aux16]],TablaAdaptacionporasignatura[[#Headers],[27448]:[Aux16]],"")</f>
        <v/>
      </c>
      <c r="BU45" s="7" t="str" cm="1">
        <f t="array" ref="BU45">_xlfn.XLOOKUP("Y2",TablaAdaptacionporasignatura[[#This Row],[27448]:[Aux16]],TablaAdaptacionporasignatura[[#Headers],[27448]:[Aux16]],"")</f>
        <v/>
      </c>
      <c r="BV45" s="7" t="str" cm="1">
        <f t="array" ref="BV45">_xlfn.XLOOKUP("Y3",TablaAdaptacionporasignatura[[#This Row],[27448]:[Aux16]],TablaAdaptacionporasignatura[[#Headers],[27448]:[Aux16]],"")</f>
        <v/>
      </c>
      <c r="BW45" s="7" t="str" cm="1">
        <f t="array" ref="BW45">_xlfn.XLOOKUP("Y4",TablaAdaptacionporasignatura[[#This Row],[27448]:[Aux16]],TablaAdaptacionporasignatura[[#Headers],[27448]:[Aux16]],"")</f>
        <v/>
      </c>
      <c r="BX45" s="7" t="str" cm="1">
        <f t="array" ref="BX45">_xlfn.XLOOKUP("O1",TablaAdaptacionporasignatura[[#This Row],[27448]:[Aux16]],TablaAdaptacionporasignatura[[#Headers],[27448]:[Aux16]],"")</f>
        <v/>
      </c>
      <c r="BY45" s="5" t="str" cm="1">
        <f t="array" ref="BY45">_xlfn.XLOOKUP("O2",TablaAdaptacionporasignatura[[#This Row],[27448]:[Aux16]],TablaAdaptacionporasignatura[[#Headers],[27448]:[Aux16]],"")</f>
        <v/>
      </c>
      <c r="BZ45" s="5" t="str" cm="1">
        <f t="array" ref="BZ45">_xlfn.XLOOKUP("O3",TablaAdaptacionporasignatura[[#This Row],[27448]:[Aux16]],TablaAdaptacionporasignatura[[#Headers],[27448]:[Aux16]],"")</f>
        <v/>
      </c>
      <c r="CA45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45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45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45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45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45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45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45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45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46" spans="3:87" x14ac:dyDescent="0.2">
      <c r="C46">
        <v>28</v>
      </c>
      <c r="D46" s="5" t="str">
        <f>_xlfn.XLOOKUP(TablaAdaptacionporasignatura[[#This Row],[ID Asig]],TablaDestino[ID Asig],TablaDestino[Módulo])</f>
        <v>Optatividad General</v>
      </c>
      <c r="E46" t="str">
        <f>_xlfn.XLOOKUP(TablaAdaptacionporasignatura[[#This Row],[ID Asig]],TablaDestino[ID Asig],TablaDestino[ID Modulo])</f>
        <v>M4</v>
      </c>
      <c r="F46" s="30" t="s">
        <v>214</v>
      </c>
      <c r="G46" s="5" t="str">
        <f>_xlfn.XLOOKUP(TablaAdaptacionporasignatura[[#This Row],[ID Asig]],TablaDestino[ID Asig],TablaDestino[Asignatura])</f>
        <v>Comunicación científico-técnica oral en Euskera</v>
      </c>
      <c r="H46" s="5">
        <f>_xlfn.XLOOKUP(TablaAdaptacionporasignatura[[#This Row],[ID Asig]],TablaDestino[ID Asig],TablaDestino[Curso])</f>
        <v>4</v>
      </c>
      <c r="I46" s="5">
        <f>_xlfn.XLOOKUP(TablaAdaptacionporasignatura[[#This Row],[ID Asig]],TablaDestino[ID Asig],TablaDestino[Cuatr])</f>
        <v>2</v>
      </c>
      <c r="J46" s="5">
        <f>_xlfn.XLOOKUP(TablaAdaptacionporasignatura[[#This Row],[ID Asig]],TablaDestino[ID Asig],TablaDestino[ECTS])</f>
        <v>6</v>
      </c>
      <c r="K46" s="5" t="str">
        <f>_xlfn.XLOOKUP(TablaAdaptacionporasignatura[[#This Row],[ID Asig]],TablaDestino[ID Asig],TablaDestino[Tipo])</f>
        <v>Optativa</v>
      </c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 t="s">
        <v>35</v>
      </c>
      <c r="BB46" s="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7" t="str" cm="1">
        <f t="array" ref="BS46">_xlfn.XLOOKUP("X",TablaAdaptacionporasignatura[[#This Row],[27448]:[Aux16]],TablaAdaptacionporasignatura[[#Headers],[27448]:[Aux16]],"")</f>
        <v>28279</v>
      </c>
      <c r="BT46" s="7" t="str" cm="1">
        <f t="array" ref="BT46">_xlfn.XLOOKUP("Y1",TablaAdaptacionporasignatura[[#This Row],[27448]:[Aux16]],TablaAdaptacionporasignatura[[#Headers],[27448]:[Aux16]],"")</f>
        <v/>
      </c>
      <c r="BU46" s="7" t="str" cm="1">
        <f t="array" ref="BU46">_xlfn.XLOOKUP("Y2",TablaAdaptacionporasignatura[[#This Row],[27448]:[Aux16]],TablaAdaptacionporasignatura[[#Headers],[27448]:[Aux16]],"")</f>
        <v/>
      </c>
      <c r="BV46" s="7" t="str" cm="1">
        <f t="array" ref="BV46">_xlfn.XLOOKUP("Y3",TablaAdaptacionporasignatura[[#This Row],[27448]:[Aux16]],TablaAdaptacionporasignatura[[#Headers],[27448]:[Aux16]],"")</f>
        <v/>
      </c>
      <c r="BW46" s="7" t="str" cm="1">
        <f t="array" ref="BW46">_xlfn.XLOOKUP("Y4",TablaAdaptacionporasignatura[[#This Row],[27448]:[Aux16]],TablaAdaptacionporasignatura[[#Headers],[27448]:[Aux16]],"")</f>
        <v/>
      </c>
      <c r="BX46" s="7" t="str" cm="1">
        <f t="array" ref="BX46">_xlfn.XLOOKUP("O1",TablaAdaptacionporasignatura[[#This Row],[27448]:[Aux16]],TablaAdaptacionporasignatura[[#Headers],[27448]:[Aux16]],"")</f>
        <v/>
      </c>
      <c r="BY46" s="5" t="str" cm="1">
        <f t="array" ref="BY46">_xlfn.XLOOKUP("O2",TablaAdaptacionporasignatura[[#This Row],[27448]:[Aux16]],TablaAdaptacionporasignatura[[#Headers],[27448]:[Aux16]],"")</f>
        <v/>
      </c>
      <c r="BZ46" s="5" t="str" cm="1">
        <f t="array" ref="BZ46">_xlfn.XLOOKUP("O3",TablaAdaptacionporasignatura[[#This Row],[27448]:[Aux16]],TablaAdaptacionporasignatura[[#Headers],[27448]:[Aux16]],"")</f>
        <v/>
      </c>
      <c r="CA46" s="5" t="str">
        <f>IF(TablaAdaptacionporasignatura[[#This Row],[Asignatura Primaria]]="","",_xlfn.XLOOKUP(VALUE(TablaAdaptacionporasignatura[[#This Row],[Asignatura Primaria]]),TablaOrigen[Cod. As.],TablaOrigen[Asignatura a procesar?],"NO"))</f>
        <v>NO</v>
      </c>
      <c r="CB46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46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46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46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46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46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46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46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47" spans="3:87" x14ac:dyDescent="0.2">
      <c r="C47">
        <v>29</v>
      </c>
      <c r="D47" s="5" t="str">
        <f>_xlfn.XLOOKUP(TablaAdaptacionporasignatura[[#This Row],[ID Asig]],TablaDestino[ID Asig],TablaDestino[Módulo])</f>
        <v>Optatividad General</v>
      </c>
      <c r="E47" t="str">
        <f>_xlfn.XLOOKUP(TablaAdaptacionporasignatura[[#This Row],[ID Asig]],TablaDestino[ID Asig],TablaDestino[ID Modulo])</f>
        <v>M4</v>
      </c>
      <c r="F47" s="30" t="s">
        <v>216</v>
      </c>
      <c r="G47" s="5" t="str">
        <f>_xlfn.XLOOKUP(TablaAdaptacionporasignatura[[#This Row],[ID Asig]],TablaDestino[ID Asig],TablaDestino[Asignatura])</f>
        <v>Buques de Pasaje y Protección Marítima</v>
      </c>
      <c r="H47" s="5">
        <f>_xlfn.XLOOKUP(TablaAdaptacionporasignatura[[#This Row],[ID Asig]],TablaDestino[ID Asig],TablaDestino[Curso])</f>
        <v>4</v>
      </c>
      <c r="I47" s="5">
        <f>_xlfn.XLOOKUP(TablaAdaptacionporasignatura[[#This Row],[ID Asig]],TablaDestino[ID Asig],TablaDestino[Cuatr])</f>
        <v>1</v>
      </c>
      <c r="J47" s="5">
        <f>_xlfn.XLOOKUP(TablaAdaptacionporasignatura[[#This Row],[ID Asig]],TablaDestino[ID Asig],TablaDestino[ECTS])</f>
        <v>6</v>
      </c>
      <c r="K47" s="5" t="str">
        <f>_xlfn.XLOOKUP(TablaAdaptacionporasignatura[[#This Row],[ID Asig]],TablaDestino[ID Asig],TablaDestino[Tipo])</f>
        <v>Optativa</v>
      </c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7" t="str" cm="1">
        <f t="array" ref="BS47">_xlfn.XLOOKUP("X",TablaAdaptacionporasignatura[[#This Row],[27448]:[Aux16]],TablaAdaptacionporasignatura[[#Headers],[27448]:[Aux16]],"")</f>
        <v/>
      </c>
      <c r="BT47" s="7" t="str" cm="1">
        <f t="array" ref="BT47">_xlfn.XLOOKUP("Y1",TablaAdaptacionporasignatura[[#This Row],[27448]:[Aux16]],TablaAdaptacionporasignatura[[#Headers],[27448]:[Aux16]],"")</f>
        <v/>
      </c>
      <c r="BU47" s="7" t="str" cm="1">
        <f t="array" ref="BU47">_xlfn.XLOOKUP("Y2",TablaAdaptacionporasignatura[[#This Row],[27448]:[Aux16]],TablaAdaptacionporasignatura[[#Headers],[27448]:[Aux16]],"")</f>
        <v/>
      </c>
      <c r="BV47" s="7" t="str" cm="1">
        <f t="array" ref="BV47">_xlfn.XLOOKUP("Y3",TablaAdaptacionporasignatura[[#This Row],[27448]:[Aux16]],TablaAdaptacionporasignatura[[#Headers],[27448]:[Aux16]],"")</f>
        <v/>
      </c>
      <c r="BW47" s="7" t="str" cm="1">
        <f t="array" ref="BW47">_xlfn.XLOOKUP("Y4",TablaAdaptacionporasignatura[[#This Row],[27448]:[Aux16]],TablaAdaptacionporasignatura[[#Headers],[27448]:[Aux16]],"")</f>
        <v/>
      </c>
      <c r="BX47" s="7" t="str" cm="1">
        <f t="array" ref="BX47">_xlfn.XLOOKUP("O1",TablaAdaptacionporasignatura[[#This Row],[27448]:[Aux16]],TablaAdaptacionporasignatura[[#Headers],[27448]:[Aux16]],"")</f>
        <v/>
      </c>
      <c r="BY47" s="5" t="str" cm="1">
        <f t="array" ref="BY47">_xlfn.XLOOKUP("O2",TablaAdaptacionporasignatura[[#This Row],[27448]:[Aux16]],TablaAdaptacionporasignatura[[#Headers],[27448]:[Aux16]],"")</f>
        <v/>
      </c>
      <c r="BZ47" s="5" t="str" cm="1">
        <f t="array" ref="BZ47">_xlfn.XLOOKUP("O3",TablaAdaptacionporasignatura[[#This Row],[27448]:[Aux16]],TablaAdaptacionporasignatura[[#Headers],[27448]:[Aux16]],"")</f>
        <v/>
      </c>
      <c r="CA47" s="5" t="str">
        <f>IF(TablaAdaptacionporasignatura[[#This Row],[Asignatura Primaria]]="","",_xlfn.XLOOKUP(VALUE(TablaAdaptacionporasignatura[[#This Row],[Asignatura Primaria]]),TablaOrigen[Cod. As.],TablaOrigen[Asignatura a procesar?],"NO"))</f>
        <v/>
      </c>
      <c r="CB47" s="5" t="str">
        <f>IF(TablaAdaptacionporasignatura[[#This Row],[Asignatura Secundaria Y1]]="","",_xlfn.XLOOKUP(VALUE(TablaAdaptacionporasignatura[[#This Row],[Asignatura Secundaria Y1]]),TablaOrigen[Cod. As.],TablaOrigen[Asignatura a procesar?],""))</f>
        <v/>
      </c>
      <c r="CC47" s="5" t="str">
        <f>IF(TablaAdaptacionporasignatura[[#This Row],[Asignatura Secundaria Y2]]="","",_xlfn.XLOOKUP(VALUE(TablaAdaptacionporasignatura[[#This Row],[Asignatura Secundaria Y2]]),TablaOrigen[Cod. As.],TablaOrigen[Asignatura a procesar?],""))</f>
        <v/>
      </c>
      <c r="CD47" s="5" t="str">
        <f>IF(TablaAdaptacionporasignatura[[#This Row],[Asignatura Secundaria Y3]]="","",_xlfn.XLOOKUP(VALUE(TablaAdaptacionporasignatura[[#This Row],[Asignatura Secundaria Y3]]),TablaOrigen[Cod. As.],TablaOrigen[Asignatura a procesar?],""))</f>
        <v/>
      </c>
      <c r="CE47" s="5" t="str">
        <f>IF(TablaAdaptacionporasignatura[[#This Row],[Asignatura Secundaria  Y4]]="","",_xlfn.XLOOKUP(VALUE(TablaAdaptacionporasignatura[[#This Row],[Asignatura Secundaria  Y4]]),TablaOrigen[Cod. As.],TablaOrigen[Asignatura a procesar?],""))</f>
        <v/>
      </c>
      <c r="CF47" s="5" t="str">
        <f>IF(TablaAdaptacionporasignatura[[#This Row],[Asignatura Secundaria O1]]="","",_xlfn.XLOOKUP(VALUE(TablaAdaptacionporasignatura[[#This Row],[Asignatura Secundaria O1]]),TablaOrigen[Cod. As.],TablaOrigen[Asignatura a procesar?],""))</f>
        <v/>
      </c>
      <c r="CG47" s="5" t="str">
        <f>IF(TablaAdaptacionporasignatura[[#This Row],[Asignatura Secundaria O2]]="","",_xlfn.XLOOKUP(VALUE(TablaAdaptacionporasignatura[[#This Row],[Asignatura Secundaria O2]]),TablaOrigen[Cod. As.],TablaOrigen[Asignatura a procesar?],""))</f>
        <v/>
      </c>
      <c r="CH47" s="5" t="str">
        <f>IF(TablaAdaptacionporasignatura[[#This Row],[Asignatura Secundaria O3]]="","",_xlfn.XLOOKUP(VALUE(TablaAdaptacionporasignatura[[#This Row],[Asignatura Secundaria O3]]),TablaOrigen[Cod. As.],TablaOrigen[Asignatura a procesar?],""))</f>
        <v/>
      </c>
      <c r="CI47" s="27" t="str">
        <f>IF(TablaAdaptacionporasignatura[[#This Row],[Primaria Superada?]]="","NO",
IF(OR(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superada?]]="SI"),
AND(TablaAdaptacionporasignatura[[#This Row],[Primaria Superada?]]="SI",TablaAdaptacionporasignatura[[#This Row],[Y1 Superada?]]="SI",TablaAdaptacionporasignatura[[#This Row],[Y2 Superada?]]="SI",TablaAdaptacionporasignatura[[#This Row],[Y3 Superada?]]="SI",TablaAdaptacionporasignatura[[#This Row],[Y4 superada?]]=""),
AND(TablaAdaptacionporasignatura[[#This Row],[Primaria Superada?]]="SI",TablaAdaptacionporasignatura[[#This Row],[Y1 Superada?]]="SI",TablaAdaptacionporasignatura[[#This Row],[Y2 Superada?]]="SI",TablaAdaptacionporasignatura[[#This Row],[Y3 Superada?]]="",TablaAdaptacionporasignatura[[#This Row],[Y4 superada?]]=""),
AND(TablaAdaptacionporasignatura[[#This Row],[Primaria Superada?]]="SI",TablaAdaptacionporasignatura[[#This Row],[Y1 Superada?]]="SI",TablaAdaptacionporasignatura[[#This Row],[Y2 Superada?]]="",TablaAdaptacionporasignatura[[#This Row],[Y3 Superada?]]="",TablaAdaptacionporasignatura[[#This Row],[Y4 superada?]]=""),
AND(TablaAdaptacionporasignatura[[#This Row],[Primaria Superada?]]="SI",TablaAdaptacionporasignatura[[#This Row],[Y1 Superada?]]="",TablaAdaptacionporasignatura[[#This Row],[Y2 Superada?]]="",TablaAdaptacionporasignatura[[#This Row],[Y3 Superada?]]="",TablaAdaptacionporasignatura[[#This Row],[Y4 superada?]]=""),
TablaAdaptacionporasignatura[[#This Row],[O1 Superada]]="SI",TablaAdaptacionporasignatura[[#This Row],[O2 Superada]]="SI",TablaAdaptacionporasignatura[[#This Row],[O3 Superada]]="SI"),
"SI",
"NO"))</f>
        <v>NO</v>
      </c>
    </row>
    <row r="48" spans="3:87" x14ac:dyDescent="0.2">
      <c r="J48" s="5"/>
      <c r="K48" s="5"/>
      <c r="L48" s="5">
        <f>COUNTIFS(TablaAdaptacionporasignatura[27448],"X")</f>
        <v>1</v>
      </c>
      <c r="M48" s="5">
        <f>COUNTIFS(TablaAdaptacionporasignatura[27443],"X")</f>
        <v>1</v>
      </c>
      <c r="N48" s="5">
        <f>COUNTIFS(TablaAdaptacionporasignatura[27447],"X")</f>
        <v>5</v>
      </c>
      <c r="O48" s="5">
        <f>COUNTIFS(TablaAdaptacionporasignatura[27445],"X")</f>
        <v>2</v>
      </c>
      <c r="P48" s="5">
        <f>COUNTIFS(TablaAdaptacionporasignatura[27451],"X")</f>
        <v>1</v>
      </c>
      <c r="Q48" s="5">
        <f>COUNTIFS(TablaAdaptacionporasignatura[27444],"X")</f>
        <v>1</v>
      </c>
      <c r="R48" s="5">
        <f>COUNTIFS(TablaAdaptacionporasignatura[27446],"X")</f>
        <v>1</v>
      </c>
      <c r="S48" s="5">
        <f>COUNTIFS(TablaAdaptacionporasignatura[27452],"X")</f>
        <v>1</v>
      </c>
      <c r="T48" s="5">
        <f>COUNTIFS(TablaAdaptacionporasignatura[27442],"X")</f>
        <v>1</v>
      </c>
      <c r="U48" s="5">
        <f>COUNTIFS(TablaAdaptacionporasignatura[27449],"X")</f>
        <v>1</v>
      </c>
      <c r="V48" s="5">
        <f>COUNTIFS(TablaAdaptacionporasignatura[27450],"X")</f>
        <v>0</v>
      </c>
      <c r="W48" s="5">
        <f>COUNTIFS(TablaAdaptacionporasignatura[27456],"X")</f>
        <v>1</v>
      </c>
      <c r="X48" s="5">
        <f>COUNTIFS(TablaAdaptacionporasignatura[27453],"X")</f>
        <v>0</v>
      </c>
      <c r="Y48" s="5">
        <f>COUNTIFS(TablaAdaptacionporasignatura[27454],"X")</f>
        <v>1</v>
      </c>
      <c r="Z48" s="5">
        <f>COUNTIFS(TablaAdaptacionporasignatura[27457],"X")</f>
        <v>1</v>
      </c>
      <c r="AA48" s="5">
        <f>COUNTIFS(TablaAdaptacionporasignatura[27459],"X")</f>
        <v>1</v>
      </c>
      <c r="AB48" s="5">
        <f>COUNTIFS(TablaAdaptacionporasignatura[27458],"X")</f>
        <v>1</v>
      </c>
      <c r="AC48" s="5">
        <f>COUNTIFS(TablaAdaptacionporasignatura[27455],"X")</f>
        <v>1</v>
      </c>
      <c r="AD48" s="5">
        <f>COUNTIFS(TablaAdaptacionporasignatura[27485],"X")</f>
        <v>1</v>
      </c>
      <c r="AE48" s="5">
        <f>COUNTIFS(TablaAdaptacionporasignatura[27484],"X")</f>
        <v>1</v>
      </c>
      <c r="AF48" s="5">
        <f>COUNTIFS(TablaAdaptacionporasignatura[27492],"X")</f>
        <v>1</v>
      </c>
      <c r="AG48" s="5">
        <f>COUNTIFS(TablaAdaptacionporasignatura[27491],"X")</f>
        <v>1</v>
      </c>
      <c r="AH48" s="5">
        <f>COUNTIFS(TablaAdaptacionporasignatura[27488],"X")</f>
        <v>1</v>
      </c>
      <c r="AI48" s="5">
        <f>COUNTIFS(TablaAdaptacionporasignatura[27487],"X")</f>
        <v>1</v>
      </c>
      <c r="AJ48" s="5">
        <f>COUNTIFS(TablaAdaptacionporasignatura[27486],"X")</f>
        <v>1</v>
      </c>
      <c r="AK48" s="5">
        <f>COUNTIFS(TablaAdaptacionporasignatura[27489],"X")</f>
        <v>0</v>
      </c>
      <c r="AL48" s="5">
        <f>COUNTIFS(TablaAdaptacionporasignatura[27490],"X")</f>
        <v>1</v>
      </c>
      <c r="AM48" s="5">
        <f>COUNTIFS(TablaAdaptacionporasignatura[26047],"X")</f>
        <v>1</v>
      </c>
      <c r="AN48" s="5">
        <f>COUNTIFS(TablaAdaptacionporasignatura[27493],"X")</f>
        <v>1</v>
      </c>
      <c r="AO48" s="5">
        <f>COUNTIFS(TablaAdaptacionporasignatura[27494],"X")</f>
        <v>1</v>
      </c>
      <c r="AP48" s="5">
        <f>COUNTIFS(TablaAdaptacionporasignatura[27496],"X")</f>
        <v>1</v>
      </c>
      <c r="AQ48" s="5">
        <f>COUNTIFS(TablaAdaptacionporasignatura[27495],"X")</f>
        <v>0</v>
      </c>
      <c r="AR48" s="5">
        <f>COUNTIFS(TablaAdaptacionporasignatura[27502],"X")</f>
        <v>1</v>
      </c>
      <c r="AS48" s="5">
        <f>COUNTIFS(TablaAdaptacionporasignatura[27503],"X")</f>
        <v>1</v>
      </c>
      <c r="AT48" s="5">
        <f>COUNTIFS(TablaAdaptacionporasignatura[27499],"X")</f>
        <v>0</v>
      </c>
      <c r="AU48" s="5">
        <f>COUNTIFS(TablaAdaptacionporasignatura[27504],"X")</f>
        <v>1</v>
      </c>
      <c r="AV48" s="5">
        <f>COUNTIFS(TablaAdaptacionporasignatura[27500],"X")</f>
        <v>0</v>
      </c>
      <c r="AW48" s="5">
        <f>COUNTIFS(TablaAdaptacionporasignatura[27498],"X")</f>
        <v>0</v>
      </c>
      <c r="AX48" s="5">
        <f>COUNTIFS(TablaAdaptacionporasignatura[27497],"X")</f>
        <v>0</v>
      </c>
      <c r="AY48" s="5">
        <f>COUNTIFS(TablaAdaptacionporasignatura[27501],"X")</f>
        <v>0</v>
      </c>
      <c r="AZ48" s="5">
        <f>COUNTIFS(TablaAdaptacionporasignatura[28278],"X")</f>
        <v>1</v>
      </c>
      <c r="BA48" s="5">
        <f>COUNTIFS(TablaAdaptacionporasignatura[28279],"X")</f>
        <v>1</v>
      </c>
      <c r="BB48" s="5">
        <f>COUNTIFS(TablaAdaptacionporasignatura[27506],"X")</f>
        <v>1</v>
      </c>
      <c r="BC48" s="5">
        <f>COUNTIFS(TablaAdaptacionporasignatura[Aux1],"X")</f>
        <v>0</v>
      </c>
      <c r="BD48" s="5">
        <f>COUNTIFS(TablaAdaptacionporasignatura[Aux2],"X")</f>
        <v>0</v>
      </c>
      <c r="BE48" s="5">
        <f>COUNTIFS(TablaAdaptacionporasignatura[Aux3],"X")</f>
        <v>0</v>
      </c>
      <c r="BF48" s="5">
        <f>COUNTIFS(TablaAdaptacionporasignatura[Aux4],"X")</f>
        <v>0</v>
      </c>
      <c r="BG48" s="5">
        <f>COUNTIFS(TablaAdaptacionporasignatura[Aux5],"X")</f>
        <v>0</v>
      </c>
      <c r="BH48" s="5">
        <f>COUNTIFS(TablaAdaptacionporasignatura[Aux6],"X")</f>
        <v>0</v>
      </c>
      <c r="BI48" s="5">
        <f>COUNTIFS(TablaAdaptacionporasignatura[Aux7],"X")</f>
        <v>0</v>
      </c>
      <c r="BJ48" s="20"/>
      <c r="BK48" s="20"/>
      <c r="BL48" s="20"/>
      <c r="BM48" s="20"/>
      <c r="BN48" s="20"/>
      <c r="BO48" s="20"/>
      <c r="BP48" s="20"/>
      <c r="BQ48" s="20"/>
      <c r="BR48" s="20"/>
      <c r="BS48" s="21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</row>
    <row r="49" spans="12:61" x14ac:dyDescent="0.2">
      <c r="L49" s="3">
        <f>COUNTIFS(TablaAdaptacionporasignatura[27448],"O")</f>
        <v>0</v>
      </c>
      <c r="M49" s="3">
        <f>COUNTIFS(TablaAdaptacionporasignatura[27443],"O")</f>
        <v>0</v>
      </c>
      <c r="N49" s="3">
        <f>COUNTIFS(TablaAdaptacionporasignatura[27447],"O")</f>
        <v>0</v>
      </c>
      <c r="O49" s="3">
        <f>COUNTIFS(TablaAdaptacionporasignatura[27445],"O")</f>
        <v>0</v>
      </c>
      <c r="P49" s="3">
        <f>COUNTIFS(TablaAdaptacionporasignatura[27451],"O")</f>
        <v>0</v>
      </c>
      <c r="Q49" s="3">
        <f>COUNTIFS(TablaAdaptacionporasignatura[27444],"O")</f>
        <v>0</v>
      </c>
      <c r="R49" s="3">
        <f>COUNTIFS(TablaAdaptacionporasignatura[27446],"O")</f>
        <v>0</v>
      </c>
      <c r="S49" s="3">
        <f>COUNTIFS(TablaAdaptacionporasignatura[27452],"O")</f>
        <v>0</v>
      </c>
      <c r="T49" s="3">
        <f>COUNTIFS(TablaAdaptacionporasignatura[27442],"O")</f>
        <v>0</v>
      </c>
      <c r="U49" s="3">
        <f>COUNTIFS(TablaAdaptacionporasignatura[27449],"O")</f>
        <v>0</v>
      </c>
      <c r="V49" s="3">
        <f>COUNTIFS(TablaAdaptacionporasignatura[27450],"O")</f>
        <v>0</v>
      </c>
      <c r="W49" s="3">
        <f>COUNTIFS(TablaAdaptacionporasignatura[27456],"O")</f>
        <v>0</v>
      </c>
      <c r="X49" s="3">
        <f>COUNTIFS(TablaAdaptacionporasignatura[27453],"O")</f>
        <v>0</v>
      </c>
      <c r="Y49" s="3">
        <f>COUNTIFS(TablaAdaptacionporasignatura[27454],"O")</f>
        <v>0</v>
      </c>
      <c r="Z49" s="3">
        <f>COUNTIFS(TablaAdaptacionporasignatura[27457],"O")</f>
        <v>0</v>
      </c>
      <c r="AA49" s="3">
        <f>COUNTIFS(TablaAdaptacionporasignatura[27459],"O")</f>
        <v>0</v>
      </c>
      <c r="AB49" s="3">
        <f>COUNTIFS(TablaAdaptacionporasignatura[27458],"O")</f>
        <v>0</v>
      </c>
      <c r="AC49" s="3">
        <f>COUNTIFS(TablaAdaptacionporasignatura[27455],"O")</f>
        <v>0</v>
      </c>
      <c r="AD49" s="3">
        <f>COUNTIFS(TablaAdaptacionporasignatura[27485],"O")</f>
        <v>0</v>
      </c>
      <c r="AE49" s="3">
        <f>COUNTIFS(TablaAdaptacionporasignatura[27484],"O")</f>
        <v>0</v>
      </c>
      <c r="AF49" s="3">
        <f>COUNTIFS(TablaAdaptacionporasignatura[27492],"O")</f>
        <v>0</v>
      </c>
      <c r="AG49" s="3">
        <f>COUNTIFS(TablaAdaptacionporasignatura[27491],"O")</f>
        <v>0</v>
      </c>
      <c r="AH49" s="3">
        <f>COUNTIFS(TablaAdaptacionporasignatura[27488],"O")</f>
        <v>0</v>
      </c>
      <c r="AI49" s="3">
        <f>COUNTIFS(TablaAdaptacionporasignatura[27487],"O")</f>
        <v>0</v>
      </c>
      <c r="AJ49" s="3">
        <f>COUNTIFS(TablaAdaptacionporasignatura[27486],"O")</f>
        <v>0</v>
      </c>
      <c r="AK49" s="3">
        <f>COUNTIFS(TablaAdaptacionporasignatura[27489],"O")</f>
        <v>0</v>
      </c>
      <c r="AL49" s="3">
        <f>COUNTIFS(TablaAdaptacionporasignatura[27490],"O")</f>
        <v>0</v>
      </c>
      <c r="AM49" s="3">
        <f>COUNTIFS(TablaAdaptacionporasignatura[26047],"O")</f>
        <v>0</v>
      </c>
      <c r="AN49" s="3">
        <f>COUNTIFS(TablaAdaptacionporasignatura[27493],"O")</f>
        <v>0</v>
      </c>
      <c r="AO49" s="3">
        <f>COUNTIFS(TablaAdaptacionporasignatura[27494],"O")</f>
        <v>0</v>
      </c>
      <c r="AP49" s="3">
        <f>COUNTIFS(TablaAdaptacionporasignatura[27496],"O")</f>
        <v>0</v>
      </c>
      <c r="AQ49" s="3">
        <f>COUNTIFS(TablaAdaptacionporasignatura[27495],"O")</f>
        <v>0</v>
      </c>
      <c r="AR49" s="3">
        <f>COUNTIFS(TablaAdaptacionporasignatura[27502],"O")</f>
        <v>0</v>
      </c>
      <c r="AS49" s="3">
        <f>COUNTIFS(TablaAdaptacionporasignatura[27503],"O")</f>
        <v>0</v>
      </c>
      <c r="AT49" s="3">
        <f>COUNTIFS(TablaAdaptacionporasignatura[27499],"O")</f>
        <v>0</v>
      </c>
      <c r="AU49" s="3">
        <f>COUNTIFS(TablaAdaptacionporasignatura[27504],"O")</f>
        <v>0</v>
      </c>
      <c r="AV49" s="3">
        <f>COUNTIFS(TablaAdaptacionporasignatura[27500],"O")</f>
        <v>0</v>
      </c>
      <c r="AW49" s="3">
        <f>COUNTIFS(TablaAdaptacionporasignatura[27498],"O")</f>
        <v>0</v>
      </c>
      <c r="AX49" s="3">
        <f>COUNTIFS(TablaAdaptacionporasignatura[27497],"O")</f>
        <v>0</v>
      </c>
      <c r="AY49" s="3">
        <f>COUNTIFS(TablaAdaptacionporasignatura[27501],"O")</f>
        <v>0</v>
      </c>
      <c r="AZ49" s="3">
        <f>COUNTIFS(TablaAdaptacionporasignatura[28278],"O")</f>
        <v>0</v>
      </c>
      <c r="BA49" s="3">
        <f>COUNTIFS(TablaAdaptacionporasignatura[28279],"O")</f>
        <v>0</v>
      </c>
      <c r="BB49" s="3">
        <f>COUNTIFS(TablaAdaptacionporasignatura[27506],"O")</f>
        <v>0</v>
      </c>
      <c r="BC49" s="3">
        <f>COUNTIFS(TablaAdaptacionporasignatura[Aux1],"O")</f>
        <v>0</v>
      </c>
      <c r="BD49" s="3">
        <f>COUNTIFS(TablaAdaptacionporasignatura[Aux2],"O")</f>
        <v>0</v>
      </c>
      <c r="BE49" s="3">
        <f>COUNTIFS(TablaAdaptacionporasignatura[Aux3],"O")</f>
        <v>0</v>
      </c>
      <c r="BF49" s="3">
        <f>COUNTIFS(TablaAdaptacionporasignatura[Aux4],"O")</f>
        <v>0</v>
      </c>
      <c r="BG49" s="3">
        <f>COUNTIFS(TablaAdaptacionporasignatura[Aux5],"O")</f>
        <v>0</v>
      </c>
      <c r="BH49" s="3">
        <f>COUNTIFS(TablaAdaptacionporasignatura[Aux6],"O")</f>
        <v>0</v>
      </c>
      <c r="BI49" s="3">
        <f>COUNTIFS(TablaAdaptacionporasignatura[Aux7],"O")</f>
        <v>0</v>
      </c>
    </row>
    <row r="50" spans="12:61" x14ac:dyDescent="0.2">
      <c r="L50" s="3">
        <f>COUNTIFS(TablaAdaptacionporasignatura[27448],"Y")</f>
        <v>0</v>
      </c>
      <c r="M50" s="3">
        <f>COUNTIFS(TablaAdaptacionporasignatura[27443],"Y")</f>
        <v>0</v>
      </c>
      <c r="N50" s="3">
        <f>COUNTIFS(TablaAdaptacionporasignatura[27447],"Y")</f>
        <v>0</v>
      </c>
      <c r="O50" s="3">
        <f>COUNTIFS(TablaAdaptacionporasignatura[27445],"Y")</f>
        <v>0</v>
      </c>
      <c r="P50" s="3">
        <f>COUNTIFS(TablaAdaptacionporasignatura[27451],"Y")</f>
        <v>0</v>
      </c>
      <c r="Q50" s="3">
        <f>COUNTIFS(TablaAdaptacionporasignatura[27444],"Y")</f>
        <v>0</v>
      </c>
      <c r="R50" s="3">
        <f>COUNTIFS(TablaAdaptacionporasignatura[27446],"Y")</f>
        <v>0</v>
      </c>
      <c r="S50" s="3">
        <f>COUNTIFS(TablaAdaptacionporasignatura[27452],"Y")</f>
        <v>0</v>
      </c>
      <c r="T50" s="3">
        <f>COUNTIFS(TablaAdaptacionporasignatura[27442],"Y")</f>
        <v>0</v>
      </c>
      <c r="U50" s="3">
        <f>COUNTIFS(TablaAdaptacionporasignatura[27449],"Y")</f>
        <v>0</v>
      </c>
      <c r="V50" s="3">
        <f>COUNTIFS(TablaAdaptacionporasignatura[27450],"Y")</f>
        <v>0</v>
      </c>
      <c r="W50" s="3">
        <f>COUNTIFS(TablaAdaptacionporasignatura[27456],"Y")</f>
        <v>0</v>
      </c>
      <c r="X50" s="3">
        <f>COUNTIFS(TablaAdaptacionporasignatura[27453],"Y")</f>
        <v>0</v>
      </c>
      <c r="Y50" s="3">
        <f>COUNTIFS(TablaAdaptacionporasignatura[27454],"Y")</f>
        <v>0</v>
      </c>
      <c r="Z50" s="3">
        <f>COUNTIFS(TablaAdaptacionporasignatura[27457],"Y")</f>
        <v>0</v>
      </c>
      <c r="AA50" s="3">
        <f>COUNTIFS(TablaAdaptacionporasignatura[27459],"Y")</f>
        <v>0</v>
      </c>
      <c r="AB50" s="3">
        <f>COUNTIFS(TablaAdaptacionporasignatura[27458],"Y")</f>
        <v>0</v>
      </c>
      <c r="AC50" s="3">
        <f>COUNTIFS(TablaAdaptacionporasignatura[27455],"Y")</f>
        <v>0</v>
      </c>
      <c r="AD50" s="3">
        <f>COUNTIFS(TablaAdaptacionporasignatura[27485],"Y")</f>
        <v>0</v>
      </c>
      <c r="AE50" s="3">
        <f>COUNTIFS(TablaAdaptacionporasignatura[27484],"Y")</f>
        <v>0</v>
      </c>
      <c r="AF50" s="3">
        <f>COUNTIFS(TablaAdaptacionporasignatura[27492],"Y")</f>
        <v>0</v>
      </c>
      <c r="AG50" s="3">
        <f>COUNTIFS(TablaAdaptacionporasignatura[27491],"Y")</f>
        <v>0</v>
      </c>
      <c r="AH50" s="3">
        <f>COUNTIFS(TablaAdaptacionporasignatura[27488],"Y")</f>
        <v>0</v>
      </c>
      <c r="AI50" s="3">
        <f>COUNTIFS(TablaAdaptacionporasignatura[27487],"Y")</f>
        <v>0</v>
      </c>
      <c r="AJ50" s="3">
        <f>COUNTIFS(TablaAdaptacionporasignatura[27486],"Y")</f>
        <v>0</v>
      </c>
      <c r="AK50" s="3">
        <f>COUNTIFS(TablaAdaptacionporasignatura[27489],"Y")</f>
        <v>0</v>
      </c>
      <c r="AL50" s="3">
        <f>COUNTIFS(TablaAdaptacionporasignatura[27490],"Y")</f>
        <v>0</v>
      </c>
      <c r="AM50" s="3">
        <f>COUNTIFS(TablaAdaptacionporasignatura[26047],"Y")</f>
        <v>0</v>
      </c>
      <c r="AN50" s="3">
        <f>COUNTIFS(TablaAdaptacionporasignatura[27493],"Y")</f>
        <v>0</v>
      </c>
      <c r="AO50" s="3">
        <f>COUNTIFS(TablaAdaptacionporasignatura[27494],"Y")</f>
        <v>0</v>
      </c>
      <c r="AP50" s="3">
        <f>COUNTIFS(TablaAdaptacionporasignatura[27496],"Y")</f>
        <v>0</v>
      </c>
      <c r="AQ50" s="3">
        <f>COUNTIFS(TablaAdaptacionporasignatura[27495],"Y")</f>
        <v>0</v>
      </c>
      <c r="AR50" s="3">
        <f>COUNTIFS(TablaAdaptacionporasignatura[27502],"Y")</f>
        <v>0</v>
      </c>
      <c r="AS50" s="3">
        <f>COUNTIFS(TablaAdaptacionporasignatura[27503],"Y")</f>
        <v>0</v>
      </c>
      <c r="AT50" s="3">
        <f>COUNTIFS(TablaAdaptacionporasignatura[27499],"Y")</f>
        <v>0</v>
      </c>
      <c r="AU50" s="3">
        <f>COUNTIFS(TablaAdaptacionporasignatura[27504],"Y")</f>
        <v>0</v>
      </c>
      <c r="AV50" s="3">
        <f>COUNTIFS(TablaAdaptacionporasignatura[27500],"Y")</f>
        <v>0</v>
      </c>
      <c r="AW50" s="3">
        <f>COUNTIFS(TablaAdaptacionporasignatura[27498],"Y")</f>
        <v>0</v>
      </c>
      <c r="AX50" s="3">
        <f>COUNTIFS(TablaAdaptacionporasignatura[27497],"Y")</f>
        <v>0</v>
      </c>
      <c r="AY50" s="3">
        <f>COUNTIFS(TablaAdaptacionporasignatura[27501],"Y")</f>
        <v>0</v>
      </c>
      <c r="AZ50" s="3">
        <f>COUNTIFS(TablaAdaptacionporasignatura[28278],"Y")</f>
        <v>0</v>
      </c>
      <c r="BA50" s="3">
        <f>COUNTIFS(TablaAdaptacionporasignatura[28279],"Y")</f>
        <v>0</v>
      </c>
      <c r="BB50" s="3">
        <f>COUNTIFS(TablaAdaptacionporasignatura[27506],"Y")</f>
        <v>0</v>
      </c>
      <c r="BC50" s="3">
        <f>COUNTIFS(TablaAdaptacionporasignatura[Aux1],"Y")</f>
        <v>0</v>
      </c>
      <c r="BD50" s="3">
        <f>COUNTIFS(TablaAdaptacionporasignatura[Aux2],"Y")</f>
        <v>0</v>
      </c>
      <c r="BE50" s="3">
        <f>COUNTIFS(TablaAdaptacionporasignatura[Aux3],"Y")</f>
        <v>0</v>
      </c>
      <c r="BF50" s="3">
        <f>COUNTIFS(TablaAdaptacionporasignatura[Aux4],"Y")</f>
        <v>0</v>
      </c>
      <c r="BG50" s="3">
        <f>COUNTIFS(TablaAdaptacionporasignatura[Aux5],"Y")</f>
        <v>0</v>
      </c>
      <c r="BH50" s="3">
        <f>COUNTIFS(TablaAdaptacionporasignatura[Aux6],"Y")</f>
        <v>0</v>
      </c>
      <c r="BI50" s="3">
        <f>COUNTIFS(TablaAdaptacionporasignatura[Aux7],"Y")</f>
        <v>0</v>
      </c>
    </row>
  </sheetData>
  <mergeCells count="1">
    <mergeCell ref="BS6:BW6"/>
  </mergeCells>
  <phoneticPr fontId="15" type="noConversion"/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6E585-04D3-7F45-9D6D-B1B2EFBB8AF5}">
  <dimension ref="B7:K24"/>
  <sheetViews>
    <sheetView workbookViewId="0">
      <selection activeCell="D48" sqref="D48"/>
    </sheetView>
  </sheetViews>
  <sheetFormatPr baseColWidth="10" defaultRowHeight="16" x14ac:dyDescent="0.2"/>
  <cols>
    <col min="2" max="2" width="11.6640625" customWidth="1"/>
    <col min="3" max="3" width="57.83203125" customWidth="1"/>
    <col min="4" max="4" width="13.83203125" customWidth="1"/>
    <col min="5" max="5" width="21.1640625" customWidth="1"/>
    <col min="6" max="6" width="26.33203125" customWidth="1"/>
    <col min="7" max="7" width="26.83203125" customWidth="1"/>
    <col min="8" max="8" width="29" customWidth="1"/>
    <col min="9" max="9" width="35.5" customWidth="1"/>
    <col min="10" max="10" width="32.6640625" customWidth="1"/>
    <col min="11" max="11" width="29.5" customWidth="1"/>
  </cols>
  <sheetData>
    <row r="7" spans="2:8" ht="22" x14ac:dyDescent="0.3">
      <c r="B7" s="100" t="s">
        <v>47</v>
      </c>
      <c r="C7" s="100"/>
      <c r="D7" s="100"/>
      <c r="E7" s="100"/>
      <c r="F7" s="100"/>
      <c r="G7" t="s">
        <v>65</v>
      </c>
    </row>
    <row r="8" spans="2:8" x14ac:dyDescent="0.2">
      <c r="B8" s="11" t="s">
        <v>42</v>
      </c>
      <c r="C8" s="6" t="s">
        <v>46</v>
      </c>
      <c r="D8" t="s">
        <v>43</v>
      </c>
      <c r="E8" t="s">
        <v>44</v>
      </c>
      <c r="F8" t="s">
        <v>45</v>
      </c>
      <c r="G8" t="s">
        <v>63</v>
      </c>
      <c r="H8" t="s">
        <v>64</v>
      </c>
    </row>
    <row r="9" spans="2:8" x14ac:dyDescent="0.2">
      <c r="B9" s="36" t="s">
        <v>16</v>
      </c>
      <c r="C9" s="37" t="s">
        <v>41</v>
      </c>
      <c r="D9">
        <v>60</v>
      </c>
      <c r="E9">
        <f>SUMIFS(TablaOrigen[ECTS],TablaOrigen[ID Modulo],Tabla8[[#This Row],[ID Modulo]],TablaOrigen[Asignatura a procesar?],"SI")</f>
        <v>0</v>
      </c>
      <c r="F9" t="str">
        <f>IF(Tabla8[[#This Row],[ECTS Superados]]=Tabla8[[#This Row],[ECTS Totales]],"SI","NO")</f>
        <v>NO</v>
      </c>
      <c r="G9">
        <v>0</v>
      </c>
      <c r="H9" t="str">
        <f>IF(Tabla8[[#This Row],[ECTS Superados]]+Tabla8[[#This Row],[Límite ECTS definidos para adaptar el módulo]]&gt;=Tabla8[[#This Row],[ECTS Totales]],"SI","NO")</f>
        <v>NO</v>
      </c>
    </row>
    <row r="10" spans="2:8" x14ac:dyDescent="0.2">
      <c r="B10" s="36" t="s">
        <v>17</v>
      </c>
      <c r="C10" s="37" t="s">
        <v>103</v>
      </c>
      <c r="D10">
        <v>48</v>
      </c>
      <c r="E10">
        <f>SUMIFS(TablaOrigen[ECTS],TablaOrigen[ID Modulo],Tabla8[[#This Row],[ID Modulo]],TablaOrigen[Asignatura a procesar?],"SI")</f>
        <v>0</v>
      </c>
      <c r="F10" t="str">
        <f>IF(Tabla8[[#This Row],[ECTS Superados]]=Tabla8[[#This Row],[ECTS Totales]],"SI","NO")</f>
        <v>NO</v>
      </c>
      <c r="G10">
        <v>0</v>
      </c>
      <c r="H10" t="str">
        <f>IF(Tabla8[[#This Row],[ECTS Superados]]+Tabla8[[#This Row],[Límite ECTS definidos para adaptar el módulo]]&gt;=Tabla8[[#This Row],[ECTS Totales]],"SI","NO")</f>
        <v>NO</v>
      </c>
    </row>
    <row r="11" spans="2:8" x14ac:dyDescent="0.2">
      <c r="B11" s="36" t="s">
        <v>19</v>
      </c>
      <c r="C11" s="37" t="s">
        <v>105</v>
      </c>
      <c r="D11">
        <v>60</v>
      </c>
      <c r="E11">
        <f>SUMIFS(TablaOrigen[ECTS],TablaOrigen[ID Modulo],Tabla8[[#This Row],[ID Modulo]],TablaOrigen[Asignatura a procesar?],"SI")</f>
        <v>0</v>
      </c>
      <c r="F11" t="str">
        <f>IF(Tabla8[[#This Row],[ECTS Superados]]=Tabla8[[#This Row],[ECTS Totales]],"SI","NO")</f>
        <v>NO</v>
      </c>
      <c r="G11">
        <v>0</v>
      </c>
      <c r="H11" t="str">
        <f>IF(Tabla8[[#This Row],[ECTS Superados]]+Tabla8[[#This Row],[Límite ECTS definidos para adaptar el módulo]]&gt;=Tabla8[[#This Row],[ECTS Totales]],"SI","NO")</f>
        <v>NO</v>
      </c>
    </row>
    <row r="12" spans="2:8" x14ac:dyDescent="0.2">
      <c r="B12" s="36" t="s">
        <v>20</v>
      </c>
      <c r="C12" s="37" t="s">
        <v>290</v>
      </c>
      <c r="D12">
        <v>30</v>
      </c>
      <c r="E12">
        <f>SUMIFS(TablaOrigen[ECTS],TablaOrigen[ID Modulo],Tabla8[[#This Row],[ID Modulo]],TablaOrigen[Asignatura a procesar?],"SI")</f>
        <v>0</v>
      </c>
      <c r="F12" t="str">
        <f>IF(Tabla8[[#This Row],[ECTS Superados]]=Tabla8[[#This Row],[ECTS Totales]],"SI","NO")</f>
        <v>NO</v>
      </c>
      <c r="G12">
        <v>0</v>
      </c>
      <c r="H12" t="str">
        <f>IF(Tabla8[[#This Row],[ECTS Superados]]+Tabla8[[#This Row],[Límite ECTS definidos para adaptar el módulo]]&gt;=Tabla8[[#This Row],[ECTS Totales]],"SI","NO")</f>
        <v>NO</v>
      </c>
    </row>
    <row r="13" spans="2:8" x14ac:dyDescent="0.2">
      <c r="B13" s="36" t="s">
        <v>21</v>
      </c>
      <c r="C13" s="37" t="s">
        <v>138</v>
      </c>
      <c r="D13">
        <v>30</v>
      </c>
      <c r="E13">
        <f>SUMIFS(TablaOrigen[ECTS],TablaOrigen[ID Modulo],Tabla8[[#This Row],[ID Modulo]],TablaOrigen[Asignatura a procesar?],"SI")</f>
        <v>0</v>
      </c>
      <c r="F13" t="str">
        <f>IF(Tabla8[[#This Row],[ECTS Superados]]=Tabla8[[#This Row],[ECTS Totales]],"SI","NO")</f>
        <v>NO</v>
      </c>
      <c r="G13">
        <v>0</v>
      </c>
      <c r="H13" t="str">
        <f>IF(Tabla8[[#This Row],[ECTS Superados]]+Tabla8[[#This Row],[Límite ECTS definidos para adaptar el módulo]]&gt;=Tabla8[[#This Row],[ECTS Totales]],"SI","NO")</f>
        <v>NO</v>
      </c>
    </row>
    <row r="17" spans="2:11" ht="22" x14ac:dyDescent="0.3">
      <c r="B17" s="100" t="s">
        <v>48</v>
      </c>
      <c r="C17" s="100"/>
      <c r="D17" s="100"/>
      <c r="E17" s="100"/>
      <c r="F17" s="100"/>
    </row>
    <row r="18" spans="2:11" x14ac:dyDescent="0.2">
      <c r="B18" s="9" t="s">
        <v>42</v>
      </c>
      <c r="C18" s="8" t="s">
        <v>14</v>
      </c>
      <c r="D18" t="s">
        <v>43</v>
      </c>
      <c r="E18" t="s">
        <v>57</v>
      </c>
      <c r="F18" t="s">
        <v>58</v>
      </c>
      <c r="G18" t="s">
        <v>59</v>
      </c>
      <c r="H18" t="s">
        <v>49</v>
      </c>
      <c r="I18" t="s">
        <v>50</v>
      </c>
      <c r="J18" t="s">
        <v>51</v>
      </c>
      <c r="K18" t="s">
        <v>52</v>
      </c>
    </row>
    <row r="19" spans="2:11" ht="17" x14ac:dyDescent="0.2">
      <c r="B19" s="4" t="s">
        <v>16</v>
      </c>
      <c r="C19" s="38" t="s">
        <v>41</v>
      </c>
      <c r="D19">
        <v>60</v>
      </c>
      <c r="E19" t="s">
        <v>16</v>
      </c>
      <c r="H19" t="str">
        <f>_xlfn.XLOOKUP(TablaModulosAdaptados[[#This Row],[Módulo Origen 1]],Tabla8[ID Modulo],Tabla8[Módulo superado con los límites?],"")</f>
        <v>NO</v>
      </c>
      <c r="I19" t="str">
        <f>IF(TablaModulosAdaptados[[#This Row],[ O Módulo Origen 2]]="","",_xlfn.XLOOKUP(TablaModulosAdaptados[[#This Row],[ O Módulo Origen 2]],Tabla8[ID Modulo],Tabla8[Módulo superado con los límites?],""))</f>
        <v/>
      </c>
      <c r="J19" t="str">
        <f>IF(TablaModulosAdaptados[[#This Row],[O Módulo Origen 3]]="","",_xlfn.XLOOKUP(TablaModulosAdaptados[[#This Row],[O Módulo Origen 3]],Tabla8[ID Modulo],Tabla8[Módulo superado con los límites?],""))</f>
        <v/>
      </c>
      <c r="K19" t="str">
        <f>IF(OR(TablaModulosAdaptados[[#This Row],[Módulo Origen Primario Superado?]]="SI",TablaModulosAdaptados[[#This Row],[Módulo Origen Secundario Superado?]]="SI",TablaModulosAdaptados[[#This Row],[Módulo Origen Terciario Superado?]]="SI"),"SI","NO")</f>
        <v>NO</v>
      </c>
    </row>
    <row r="20" spans="2:11" ht="17" x14ac:dyDescent="0.2">
      <c r="B20" s="4" t="s">
        <v>17</v>
      </c>
      <c r="C20" s="38" t="s">
        <v>166</v>
      </c>
      <c r="D20">
        <v>48</v>
      </c>
      <c r="H20" t="str">
        <f>_xlfn.XLOOKUP(TablaModulosAdaptados[[#This Row],[Módulo Origen 1]],Tabla8[ID Modulo],Tabla8[Módulo superado con los límites?],"")</f>
        <v/>
      </c>
      <c r="I20" t="str">
        <f>IF(TablaModulosAdaptados[[#This Row],[ O Módulo Origen 2]]="","",_xlfn.XLOOKUP(TablaModulosAdaptados[[#This Row],[ O Módulo Origen 2]],Tabla8[ID Modulo],Tabla8[Módulo superado con los límites?],""))</f>
        <v/>
      </c>
      <c r="J20" t="str">
        <f>IF(TablaModulosAdaptados[[#This Row],[O Módulo Origen 3]]="","",_xlfn.XLOOKUP(TablaModulosAdaptados[[#This Row],[O Módulo Origen 3]],Tabla8[ID Modulo],Tabla8[Módulo superado con los límites?],""))</f>
        <v/>
      </c>
      <c r="K20" t="str">
        <f>IF(OR(TablaModulosAdaptados[[#This Row],[Módulo Origen Primario Superado?]]="SI",TablaModulosAdaptados[[#This Row],[Módulo Origen Secundario Superado?]]="SI",TablaModulosAdaptados[[#This Row],[Módulo Origen Terciario Superado?]]="SI"),"SI","NO")</f>
        <v>NO</v>
      </c>
    </row>
    <row r="21" spans="2:11" ht="17" x14ac:dyDescent="0.2">
      <c r="B21" s="4" t="s">
        <v>19</v>
      </c>
      <c r="C21" s="38" t="s">
        <v>173</v>
      </c>
      <c r="D21">
        <v>96</v>
      </c>
      <c r="H21" t="str">
        <f>_xlfn.XLOOKUP(TablaModulosAdaptados[[#This Row],[Módulo Origen 1]],Tabla8[ID Modulo],Tabla8[Módulo superado con los límites?],"")</f>
        <v/>
      </c>
      <c r="I21" t="str">
        <f>IF(TablaModulosAdaptados[[#This Row],[ O Módulo Origen 2]]="","",_xlfn.XLOOKUP(TablaModulosAdaptados[[#This Row],[ O Módulo Origen 2]],Tabla8[ID Modulo],Tabla8[Módulo superado con los límites?],""))</f>
        <v/>
      </c>
      <c r="J21" t="str">
        <f>IF(TablaModulosAdaptados[[#This Row],[O Módulo Origen 3]]="","",_xlfn.XLOOKUP(TablaModulosAdaptados[[#This Row],[O Módulo Origen 3]],Tabla8[ID Modulo],Tabla8[Módulo superado con los límites?],""))</f>
        <v/>
      </c>
      <c r="K21" t="str">
        <f>IF(OR(TablaModulosAdaptados[[#This Row],[Módulo Origen Primario Superado?]]="SI",TablaModulosAdaptados[[#This Row],[Módulo Origen Secundario Superado?]]="SI",TablaModulosAdaptados[[#This Row],[Módulo Origen Terciario Superado?]]="SI"),"SI","NO")</f>
        <v>NO</v>
      </c>
    </row>
    <row r="22" spans="2:11" ht="17" x14ac:dyDescent="0.2">
      <c r="B22" s="5" t="s">
        <v>20</v>
      </c>
      <c r="C22" s="39" t="s">
        <v>203</v>
      </c>
      <c r="D22">
        <v>24</v>
      </c>
      <c r="H22" t="str">
        <f>_xlfn.XLOOKUP(TablaModulosAdaptados[[#This Row],[Módulo Origen 1]],Tabla8[ID Modulo],Tabla8[Módulo superado con los límites?],"")</f>
        <v/>
      </c>
      <c r="I22" t="str">
        <f>IF(TablaModulosAdaptados[[#This Row],[ O Módulo Origen 2]]="","",_xlfn.XLOOKUP(TablaModulosAdaptados[[#This Row],[ O Módulo Origen 2]],Tabla8[ID Modulo],Tabla8[Módulo superado con los límites?],""))</f>
        <v/>
      </c>
      <c r="J22" t="str">
        <f>IF(TablaModulosAdaptados[[#This Row],[O Módulo Origen 3]]="","",_xlfn.XLOOKUP(TablaModulosAdaptados[[#This Row],[O Módulo Origen 3]],Tabla8[ID Modulo],Tabla8[Módulo superado con los límites?],""))</f>
        <v/>
      </c>
      <c r="K22" t="str">
        <f>IF(OR(TablaModulosAdaptados[[#This Row],[Módulo Origen Primario Superado?]]="SI",TablaModulosAdaptados[[#This Row],[Módulo Origen Secundario Superado?]]="SI",TablaModulosAdaptados[[#This Row],[Módulo Origen Terciario Superado?]]="SI"),"SI","NO")</f>
        <v>NO</v>
      </c>
    </row>
    <row r="24" spans="2:11" x14ac:dyDescent="0.2">
      <c r="F24" s="26"/>
    </row>
  </sheetData>
  <mergeCells count="2">
    <mergeCell ref="B7:F7"/>
    <mergeCell ref="B17:F17"/>
  </mergeCells>
  <phoneticPr fontId="15" type="noConversion"/>
  <pageMargins left="0.7" right="0.7" top="0.75" bottom="0.75" header="0.3" footer="0.3"/>
  <pageSetup paperSize="9" orientation="portrait" horizontalDpi="0" verticalDpi="0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3609A-B624-B94A-BAA4-CE71D54A87F9}">
  <dimension ref="C14:Y90"/>
  <sheetViews>
    <sheetView topLeftCell="A18" zoomScale="82" zoomScaleNormal="82" workbookViewId="0">
      <selection activeCell="D48" sqref="D48"/>
    </sheetView>
  </sheetViews>
  <sheetFormatPr baseColWidth="10" defaultRowHeight="16" x14ac:dyDescent="0.2"/>
  <cols>
    <col min="4" max="4" width="53" customWidth="1"/>
    <col min="5" max="5" width="20" customWidth="1"/>
    <col min="6" max="6" width="66.33203125" customWidth="1"/>
    <col min="7" max="7" width="12.6640625" customWidth="1"/>
    <col min="8" max="8" width="14.6640625" customWidth="1"/>
    <col min="9" max="9" width="7.6640625" customWidth="1"/>
    <col min="10" max="10" width="16.33203125" customWidth="1"/>
    <col min="11" max="11" width="9.1640625" customWidth="1"/>
    <col min="12" max="12" width="11.83203125" customWidth="1"/>
    <col min="18" max="18" width="14.33203125" customWidth="1"/>
    <col min="19" max="19" width="13.83203125" customWidth="1"/>
    <col min="20" max="20" width="12.6640625" customWidth="1"/>
    <col min="21" max="21" width="14.6640625" customWidth="1"/>
    <col min="22" max="22" width="11.83203125" bestFit="1" customWidth="1"/>
  </cols>
  <sheetData>
    <row r="14" spans="3:25" ht="207" x14ac:dyDescent="0.2">
      <c r="C14" t="s">
        <v>13</v>
      </c>
      <c r="D14" s="8" t="s">
        <v>14</v>
      </c>
      <c r="E14" s="8" t="s">
        <v>30</v>
      </c>
      <c r="F14" s="8" t="s">
        <v>0</v>
      </c>
      <c r="G14" s="8" t="s">
        <v>5</v>
      </c>
      <c r="H14" s="8" t="s">
        <v>1</v>
      </c>
      <c r="I14" s="8" t="s">
        <v>15</v>
      </c>
      <c r="J14" s="8" t="s">
        <v>31</v>
      </c>
      <c r="K14" s="17" t="s">
        <v>61</v>
      </c>
      <c r="L14" s="17" t="s">
        <v>68</v>
      </c>
      <c r="M14" s="17" t="s">
        <v>69</v>
      </c>
      <c r="N14" s="17" t="s">
        <v>70</v>
      </c>
      <c r="O14" s="17" t="s">
        <v>71</v>
      </c>
      <c r="P14" s="17" t="s">
        <v>72</v>
      </c>
      <c r="Q14" s="17" t="s">
        <v>73</v>
      </c>
      <c r="R14" s="18" t="s">
        <v>77</v>
      </c>
      <c r="S14" s="18" t="s">
        <v>76</v>
      </c>
      <c r="T14" s="18" t="s">
        <v>75</v>
      </c>
      <c r="U14" s="18" t="s">
        <v>74</v>
      </c>
      <c r="V14" s="18" t="s">
        <v>78</v>
      </c>
      <c r="W14" s="18" t="s">
        <v>79</v>
      </c>
      <c r="X14" s="18" t="s">
        <v>80</v>
      </c>
      <c r="Y14" s="18" t="s">
        <v>81</v>
      </c>
    </row>
    <row r="15" spans="3:25" x14ac:dyDescent="0.2">
      <c r="C15">
        <v>1</v>
      </c>
      <c r="D15" s="5" t="str">
        <f>_xlfn.XLOOKUP(TablaCondicionesParticulares[[#This Row],[ID Asig]],TablaDestino[ID Asig],TablaDestino[Módulo])</f>
        <v>Formación Básica</v>
      </c>
      <c r="E15" s="30" t="s">
        <v>152</v>
      </c>
      <c r="F15" s="5" t="str">
        <f>_xlfn.XLOOKUP(TablaCondicionesParticulares[[#This Row],[ID Asig]],TablaDestino[ID Asig],TablaDestino[Asignatura])</f>
        <v>Empresa y Economía Marítima</v>
      </c>
      <c r="G15" s="5">
        <f>_xlfn.XLOOKUP(TablaCondicionesParticulares[[#This Row],[ID Asig]],TablaDestino[ID Asig],TablaDestino[Curso])</f>
        <v>1</v>
      </c>
      <c r="H15" s="5">
        <f>_xlfn.XLOOKUP(TablaCondicionesParticulares[[#This Row],[ID Asig]],TablaDestino[ID Asig],TablaDestino[Cuatr])</f>
        <v>1</v>
      </c>
      <c r="I15" s="5">
        <f>_xlfn.XLOOKUP(TablaCondicionesParticulares[[#This Row],[ID Asig]],TablaDestino[ID Asig],TablaDestino[ECTS],"")</f>
        <v>6</v>
      </c>
      <c r="J15" s="5" t="str">
        <f>_xlfn.XLOOKUP(TablaCondicionesParticulares[[#This Row],[ID Asig]],TablaDestino[ID Asig],TablaDestino[Tipo],"")</f>
        <v>Básica</v>
      </c>
      <c r="R15" s="1" t="b">
        <f>AND(Tabla11[Cumple condición?],TablaCondicionesParticulares[[#This Row],[Asignaturas Adaptadas si Condicion 1]]="X")</f>
        <v>0</v>
      </c>
      <c r="S15" s="1" t="b">
        <f>AND(Tabla1113[Cumple condición?],TablaCondicionesParticulares[[#This Row],[Asignaturas Adaptadas si Condicion 2]]="X")</f>
        <v>0</v>
      </c>
      <c r="T15" s="1" t="b">
        <f>AND(Tabla111314[Cumple condición?],TablaCondicionesParticulares[[#This Row],[Asignaturas Adaptadas si Condicion 3]]="X")</f>
        <v>0</v>
      </c>
      <c r="U15" s="1"/>
      <c r="V15" s="1"/>
      <c r="W15" s="1"/>
      <c r="X15" s="1"/>
      <c r="Y15" s="1" t="str">
        <f>IF(OR(TablaCondicionesParticulares[[#This Row],[Adaptada por Condición 1]:[Adaptada por Condición 7]]),"SI","NO")</f>
        <v>NO</v>
      </c>
    </row>
    <row r="16" spans="3:25" x14ac:dyDescent="0.2">
      <c r="C16">
        <v>2</v>
      </c>
      <c r="D16" s="5" t="str">
        <f>_xlfn.XLOOKUP(TablaCondicionesParticulares[[#This Row],[ID Asig]],TablaDestino[ID Asig],TablaDestino[Módulo])</f>
        <v>Formación Básica</v>
      </c>
      <c r="E16" s="30" t="s">
        <v>154</v>
      </c>
      <c r="F16" s="5" t="str">
        <f>_xlfn.XLOOKUP(TablaCondicionesParticulares[[#This Row],[ID Asig]],TablaDestino[ID Asig],TablaDestino[Asignatura])</f>
        <v>Expresión Gráfica</v>
      </c>
      <c r="G16" s="5">
        <f>_xlfn.XLOOKUP(TablaCondicionesParticulares[[#This Row],[ID Asig]],TablaDestino[ID Asig],TablaDestino[Curso])</f>
        <v>1</v>
      </c>
      <c r="H16" s="5">
        <f>_xlfn.XLOOKUP(TablaCondicionesParticulares[[#This Row],[ID Asig]],TablaDestino[ID Asig],TablaDestino[Cuatr])</f>
        <v>1</v>
      </c>
      <c r="I16" s="5">
        <f>_xlfn.XLOOKUP(TablaCondicionesParticulares[[#This Row],[ID Asig]],TablaDestino[ID Asig],TablaDestino[ECTS],"")</f>
        <v>6</v>
      </c>
      <c r="J16" s="5" t="str">
        <f>_xlfn.XLOOKUP(TablaCondicionesParticulares[[#This Row],[ID Asig]],TablaDestino[ID Asig],TablaDestino[Tipo],"")</f>
        <v>Básica</v>
      </c>
      <c r="R16" s="1" t="b">
        <f>AND(Tabla11[Cumple condición?],TablaCondicionesParticulares[[#This Row],[Asignaturas Adaptadas si Condicion 1]]="X")</f>
        <v>0</v>
      </c>
      <c r="S16" s="1" t="b">
        <f>AND(Tabla1113[Cumple condición?],TablaCondicionesParticulares[[#This Row],[Asignaturas Adaptadas si Condicion 2]]="X")</f>
        <v>0</v>
      </c>
      <c r="T16" s="1" t="b">
        <f>AND(Tabla111314[Cumple condición?],TablaCondicionesParticulares[[#This Row],[Asignaturas Adaptadas si Condicion 3]]="X")</f>
        <v>0</v>
      </c>
      <c r="U16" s="1"/>
      <c r="V16" s="1"/>
      <c r="W16" s="1"/>
      <c r="X16" s="1"/>
      <c r="Y16" s="1" t="str">
        <f>IF(OR(TablaCondicionesParticulares[[#This Row],[Adaptada por Condición 1]:[Adaptada por Condición 7]]),"SI","NO")</f>
        <v>NO</v>
      </c>
    </row>
    <row r="17" spans="3:25" x14ac:dyDescent="0.2">
      <c r="C17">
        <v>3</v>
      </c>
      <c r="D17" s="5" t="str">
        <f>_xlfn.XLOOKUP(TablaCondicionesParticulares[[#This Row],[ID Asig]],TablaDestino[ID Asig],TablaDestino[Módulo])</f>
        <v>Formación Básica</v>
      </c>
      <c r="E17" s="30" t="s">
        <v>155</v>
      </c>
      <c r="F17" s="5" t="str">
        <f>_xlfn.XLOOKUP(TablaCondicionesParticulares[[#This Row],[ID Asig]],TablaDestino[ID Asig],TablaDestino[Asignatura])</f>
        <v>Inglés Técnico Marítimo</v>
      </c>
      <c r="G17" s="5">
        <f>_xlfn.XLOOKUP(TablaCondicionesParticulares[[#This Row],[ID Asig]],TablaDestino[ID Asig],TablaDestino[Curso])</f>
        <v>1</v>
      </c>
      <c r="H17" s="5">
        <f>_xlfn.XLOOKUP(TablaCondicionesParticulares[[#This Row],[ID Asig]],TablaDestino[ID Asig],TablaDestino[Cuatr])</f>
        <v>2</v>
      </c>
      <c r="I17" s="5">
        <f>_xlfn.XLOOKUP(TablaCondicionesParticulares[[#This Row],[ID Asig]],TablaDestino[ID Asig],TablaDestino[ECTS],"")</f>
        <v>6</v>
      </c>
      <c r="J17" s="5" t="str">
        <f>_xlfn.XLOOKUP(TablaCondicionesParticulares[[#This Row],[ID Asig]],TablaDestino[ID Asig],TablaDestino[Tipo],"")</f>
        <v>Básica</v>
      </c>
      <c r="R17" s="1" t="b">
        <f>AND(Tabla11[Cumple condición?],TablaCondicionesParticulares[[#This Row],[Asignaturas Adaptadas si Condicion 1]]="X")</f>
        <v>0</v>
      </c>
      <c r="S17" s="1" t="b">
        <f>AND(Tabla1113[Cumple condición?],TablaCondicionesParticulares[[#This Row],[Asignaturas Adaptadas si Condicion 2]]="X")</f>
        <v>0</v>
      </c>
      <c r="T17" s="1" t="b">
        <f>AND(Tabla111314[Cumple condición?],TablaCondicionesParticulares[[#This Row],[Asignaturas Adaptadas si Condicion 3]]="X")</f>
        <v>0</v>
      </c>
      <c r="U17" s="1"/>
      <c r="V17" s="1"/>
      <c r="W17" s="1"/>
      <c r="X17" s="1"/>
      <c r="Y17" s="1" t="str">
        <f>IF(OR(TablaCondicionesParticulares[[#This Row],[Adaptada por Condición 1]:[Adaptada por Condición 7]]),"SI","NO")</f>
        <v>NO</v>
      </c>
    </row>
    <row r="18" spans="3:25" x14ac:dyDescent="0.2">
      <c r="C18">
        <v>4</v>
      </c>
      <c r="D18" s="5" t="str">
        <f>_xlfn.XLOOKUP(TablaCondicionesParticulares[[#This Row],[ID Asig]],TablaDestino[ID Asig],TablaDestino[Módulo])</f>
        <v>Formación Básica</v>
      </c>
      <c r="E18" s="30" t="s">
        <v>157</v>
      </c>
      <c r="F18" s="5" t="str">
        <f>_xlfn.XLOOKUP(TablaCondicionesParticulares[[#This Row],[ID Asig]],TablaDestino[ID Asig],TablaDestino[Asignatura])</f>
        <v>Física I</v>
      </c>
      <c r="G18" s="5">
        <f>_xlfn.XLOOKUP(TablaCondicionesParticulares[[#This Row],[ID Asig]],TablaDestino[ID Asig],TablaDestino[Curso])</f>
        <v>1</v>
      </c>
      <c r="H18" s="5">
        <f>_xlfn.XLOOKUP(TablaCondicionesParticulares[[#This Row],[ID Asig]],TablaDestino[ID Asig],TablaDestino[Cuatr])</f>
        <v>1</v>
      </c>
      <c r="I18" s="5">
        <f>_xlfn.XLOOKUP(TablaCondicionesParticulares[[#This Row],[ID Asig]],TablaDestino[ID Asig],TablaDestino[ECTS],"")</f>
        <v>6</v>
      </c>
      <c r="J18" s="5" t="str">
        <f>_xlfn.XLOOKUP(TablaCondicionesParticulares[[#This Row],[ID Asig]],TablaDestino[ID Asig],TablaDestino[Tipo],"")</f>
        <v>Básica</v>
      </c>
      <c r="R18" s="1" t="b">
        <f>AND(Tabla11[Cumple condición?],TablaCondicionesParticulares[[#This Row],[Asignaturas Adaptadas si Condicion 1]]="X")</f>
        <v>0</v>
      </c>
      <c r="S18" s="1" t="b">
        <f>AND(Tabla1113[Cumple condición?],TablaCondicionesParticulares[[#This Row],[Asignaturas Adaptadas si Condicion 2]]="X")</f>
        <v>0</v>
      </c>
      <c r="T18" s="1" t="b">
        <f>AND(Tabla111314[Cumple condición?],TablaCondicionesParticulares[[#This Row],[Asignaturas Adaptadas si Condicion 3]]="X")</f>
        <v>0</v>
      </c>
      <c r="U18" s="1"/>
      <c r="V18" s="1"/>
      <c r="W18" s="1"/>
      <c r="X18" s="1"/>
      <c r="Y18" s="1" t="str">
        <f>IF(OR(TablaCondicionesParticulares[[#This Row],[Adaptada por Condición 1]:[Adaptada por Condición 7]]),"SI","NO")</f>
        <v>NO</v>
      </c>
    </row>
    <row r="19" spans="3:25" x14ac:dyDescent="0.2">
      <c r="C19">
        <v>5</v>
      </c>
      <c r="D19" s="5" t="str">
        <f>_xlfn.XLOOKUP(TablaCondicionesParticulares[[#This Row],[ID Asig]],TablaDestino[ID Asig],TablaDestino[Módulo])</f>
        <v>Formación Básica</v>
      </c>
      <c r="E19" s="30" t="s">
        <v>158</v>
      </c>
      <c r="F19" s="5" t="str">
        <f>_xlfn.XLOOKUP(TablaCondicionesParticulares[[#This Row],[ID Asig]],TablaDestino[ID Asig],TablaDestino[Asignatura])</f>
        <v>Física II</v>
      </c>
      <c r="G19" s="5">
        <f>_xlfn.XLOOKUP(TablaCondicionesParticulares[[#This Row],[ID Asig]],TablaDestino[ID Asig],TablaDestino[Curso])</f>
        <v>1</v>
      </c>
      <c r="H19" s="5">
        <f>_xlfn.XLOOKUP(TablaCondicionesParticulares[[#This Row],[ID Asig]],TablaDestino[ID Asig],TablaDestino[Cuatr])</f>
        <v>2</v>
      </c>
      <c r="I19" s="5">
        <f>_xlfn.XLOOKUP(TablaCondicionesParticulares[[#This Row],[ID Asig]],TablaDestino[ID Asig],TablaDestino[ECTS],"")</f>
        <v>6</v>
      </c>
      <c r="J19" s="5" t="str">
        <f>_xlfn.XLOOKUP(TablaCondicionesParticulares[[#This Row],[ID Asig]],TablaDestino[ID Asig],TablaDestino[Tipo],"")</f>
        <v>Básica</v>
      </c>
      <c r="R19" s="1" t="b">
        <f>AND(Tabla11[Cumple condición?],TablaCondicionesParticulares[[#This Row],[Asignaturas Adaptadas si Condicion 1]]="X")</f>
        <v>0</v>
      </c>
      <c r="S19" s="1" t="b">
        <f>AND(Tabla1113[Cumple condición?],TablaCondicionesParticulares[[#This Row],[Asignaturas Adaptadas si Condicion 2]]="X")</f>
        <v>0</v>
      </c>
      <c r="T19" s="1" t="b">
        <f>AND(Tabla111314[Cumple condición?],TablaCondicionesParticulares[[#This Row],[Asignaturas Adaptadas si Condicion 3]]="X")</f>
        <v>0</v>
      </c>
      <c r="U19" s="1"/>
      <c r="V19" s="1"/>
      <c r="W19" s="1"/>
      <c r="X19" s="1"/>
      <c r="Y19" s="1" t="str">
        <f>IF(OR(TablaCondicionesParticulares[[#This Row],[Adaptada por Condición 1]:[Adaptada por Condición 7]]),"SI","NO")</f>
        <v>NO</v>
      </c>
    </row>
    <row r="20" spans="3:25" x14ac:dyDescent="0.2">
      <c r="C20">
        <v>6</v>
      </c>
      <c r="D20" s="5" t="str">
        <f>_xlfn.XLOOKUP(TablaCondicionesParticulares[[#This Row],[ID Asig]],TablaDestino[ID Asig],TablaDestino[Módulo])</f>
        <v>Formación Básica</v>
      </c>
      <c r="E20" s="30" t="s">
        <v>159</v>
      </c>
      <c r="F20" s="5" t="str">
        <f>_xlfn.XLOOKUP(TablaCondicionesParticulares[[#This Row],[ID Asig]],TablaDestino[ID Asig],TablaDestino[Asignatura])</f>
        <v>Informática</v>
      </c>
      <c r="G20" s="5">
        <f>_xlfn.XLOOKUP(TablaCondicionesParticulares[[#This Row],[ID Asig]],TablaDestino[ID Asig],TablaDestino[Curso])</f>
        <v>1</v>
      </c>
      <c r="H20" s="5">
        <f>_xlfn.XLOOKUP(TablaCondicionesParticulares[[#This Row],[ID Asig]],TablaDestino[ID Asig],TablaDestino[Cuatr])</f>
        <v>2</v>
      </c>
      <c r="I20" s="5">
        <f>_xlfn.XLOOKUP(TablaCondicionesParticulares[[#This Row],[ID Asig]],TablaDestino[ID Asig],TablaDestino[ECTS],"")</f>
        <v>6</v>
      </c>
      <c r="J20" s="5" t="str">
        <f>_xlfn.XLOOKUP(TablaCondicionesParticulares[[#This Row],[ID Asig]],TablaDestino[ID Asig],TablaDestino[Tipo],"")</f>
        <v>Básica</v>
      </c>
      <c r="R20" s="1" t="b">
        <f>AND(Tabla11[Cumple condición?],TablaCondicionesParticulares[[#This Row],[Asignaturas Adaptadas si Condicion 1]]="X")</f>
        <v>0</v>
      </c>
      <c r="S20" s="1" t="b">
        <f>AND(Tabla1113[Cumple condición?],TablaCondicionesParticulares[[#This Row],[Asignaturas Adaptadas si Condicion 2]]="X")</f>
        <v>0</v>
      </c>
      <c r="T20" s="1" t="b">
        <f>AND(Tabla111314[Cumple condición?],TablaCondicionesParticulares[[#This Row],[Asignaturas Adaptadas si Condicion 3]]="X")</f>
        <v>0</v>
      </c>
      <c r="U20" s="1"/>
      <c r="V20" s="1"/>
      <c r="W20" s="1"/>
      <c r="X20" s="1"/>
      <c r="Y20" s="1" t="str">
        <f>IF(OR(TablaCondicionesParticulares[[#This Row],[Adaptada por Condición 1]:[Adaptada por Condición 7]]),"SI","NO")</f>
        <v>NO</v>
      </c>
    </row>
    <row r="21" spans="3:25" x14ac:dyDescent="0.2">
      <c r="C21">
        <v>7</v>
      </c>
      <c r="D21" s="5" t="str">
        <f>_xlfn.XLOOKUP(TablaCondicionesParticulares[[#This Row],[ID Asig]],TablaDestino[ID Asig],TablaDestino[Módulo])</f>
        <v>Formación Básica</v>
      </c>
      <c r="E21" s="30" t="s">
        <v>160</v>
      </c>
      <c r="F21" s="5" t="str">
        <f>_xlfn.XLOOKUP(TablaCondicionesParticulares[[#This Row],[ID Asig]],TablaDestino[ID Asig],TablaDestino[Asignatura])</f>
        <v>Química</v>
      </c>
      <c r="G21" s="5">
        <f>_xlfn.XLOOKUP(TablaCondicionesParticulares[[#This Row],[ID Asig]],TablaDestino[ID Asig],TablaDestino[Curso])</f>
        <v>1</v>
      </c>
      <c r="H21" s="5">
        <f>_xlfn.XLOOKUP(TablaCondicionesParticulares[[#This Row],[ID Asig]],TablaDestino[ID Asig],TablaDestino[Cuatr])</f>
        <v>1</v>
      </c>
      <c r="I21" s="5">
        <f>_xlfn.XLOOKUP(TablaCondicionesParticulares[[#This Row],[ID Asig]],TablaDestino[ID Asig],TablaDestino[ECTS],"")</f>
        <v>6</v>
      </c>
      <c r="J21" s="5" t="str">
        <f>_xlfn.XLOOKUP(TablaCondicionesParticulares[[#This Row],[ID Asig]],TablaDestino[ID Asig],TablaDestino[Tipo],"")</f>
        <v>Básica</v>
      </c>
      <c r="R21" s="1" t="b">
        <f>AND(Tabla11[Cumple condición?],TablaCondicionesParticulares[[#This Row],[Asignaturas Adaptadas si Condicion 1]]="X")</f>
        <v>0</v>
      </c>
      <c r="S21" s="1" t="b">
        <f>AND(Tabla1113[Cumple condición?],TablaCondicionesParticulares[[#This Row],[Asignaturas Adaptadas si Condicion 2]]="X")</f>
        <v>0</v>
      </c>
      <c r="T21" s="1" t="b">
        <f>AND(Tabla111314[Cumple condición?],TablaCondicionesParticulares[[#This Row],[Asignaturas Adaptadas si Condicion 3]]="X")</f>
        <v>0</v>
      </c>
      <c r="U21" s="1"/>
      <c r="V21" s="1"/>
      <c r="W21" s="1"/>
      <c r="X21" s="1"/>
      <c r="Y21" s="1" t="str">
        <f>IF(OR(TablaCondicionesParticulares[[#This Row],[Adaptada por Condición 1]:[Adaptada por Condición 7]]),"SI","NO")</f>
        <v>NO</v>
      </c>
    </row>
    <row r="22" spans="3:25" x14ac:dyDescent="0.2">
      <c r="C22">
        <v>8</v>
      </c>
      <c r="D22" s="5" t="str">
        <f>_xlfn.XLOOKUP(TablaCondicionesParticulares[[#This Row],[ID Asig]],TablaDestino[ID Asig],TablaDestino[Módulo])</f>
        <v>Formación Básica</v>
      </c>
      <c r="E22" s="30" t="s">
        <v>161</v>
      </c>
      <c r="F22" s="5" t="str">
        <f>_xlfn.XLOOKUP(TablaCondicionesParticulares[[#This Row],[ID Asig]],TablaDestino[ID Asig],TablaDestino[Asignatura])</f>
        <v>Álgebra</v>
      </c>
      <c r="G22" s="5">
        <f>_xlfn.XLOOKUP(TablaCondicionesParticulares[[#This Row],[ID Asig]],TablaDestino[ID Asig],TablaDestino[Curso])</f>
        <v>1</v>
      </c>
      <c r="H22" s="5">
        <f>_xlfn.XLOOKUP(TablaCondicionesParticulares[[#This Row],[ID Asig]],TablaDestino[ID Asig],TablaDestino[Cuatr])</f>
        <v>2</v>
      </c>
      <c r="I22" s="5">
        <f>_xlfn.XLOOKUP(TablaCondicionesParticulares[[#This Row],[ID Asig]],TablaDestino[ID Asig],TablaDestino[ECTS],"")</f>
        <v>6</v>
      </c>
      <c r="J22" s="5" t="str">
        <f>_xlfn.XLOOKUP(TablaCondicionesParticulares[[#This Row],[ID Asig]],TablaDestino[ID Asig],TablaDestino[Tipo],"")</f>
        <v>Básica</v>
      </c>
      <c r="R22" s="1" t="b">
        <f>AND(Tabla11[Cumple condición?],TablaCondicionesParticulares[[#This Row],[Asignaturas Adaptadas si Condicion 1]]="X")</f>
        <v>0</v>
      </c>
      <c r="S22" s="1" t="b">
        <f>AND(Tabla1113[Cumple condición?],TablaCondicionesParticulares[[#This Row],[Asignaturas Adaptadas si Condicion 2]]="X")</f>
        <v>0</v>
      </c>
      <c r="T22" s="1" t="b">
        <f>AND(Tabla111314[Cumple condición?],TablaCondicionesParticulares[[#This Row],[Asignaturas Adaptadas si Condicion 3]]="X")</f>
        <v>0</v>
      </c>
      <c r="U22" s="1"/>
      <c r="V22" s="1"/>
      <c r="W22" s="1"/>
      <c r="X22" s="1"/>
      <c r="Y22" s="1" t="str">
        <f>IF(OR(TablaCondicionesParticulares[[#This Row],[Adaptada por Condición 1]:[Adaptada por Condición 7]]),"SI","NO")</f>
        <v>NO</v>
      </c>
    </row>
    <row r="23" spans="3:25" x14ac:dyDescent="0.2">
      <c r="C23">
        <v>9</v>
      </c>
      <c r="D23" s="5" t="str">
        <f>_xlfn.XLOOKUP(TablaCondicionesParticulares[[#This Row],[ID Asig]],TablaDestino[ID Asig],TablaDestino[Módulo])</f>
        <v>Formación Básica</v>
      </c>
      <c r="E23" s="30" t="s">
        <v>162</v>
      </c>
      <c r="F23" s="5" t="str">
        <f>_xlfn.XLOOKUP(TablaCondicionesParticulares[[#This Row],[ID Asig]],TablaDestino[ID Asig],TablaDestino[Asignatura])</f>
        <v>Calculo</v>
      </c>
      <c r="G23" s="5">
        <f>_xlfn.XLOOKUP(TablaCondicionesParticulares[[#This Row],[ID Asig]],TablaDestino[ID Asig],TablaDestino[Curso])</f>
        <v>1</v>
      </c>
      <c r="H23" s="5">
        <f>_xlfn.XLOOKUP(TablaCondicionesParticulares[[#This Row],[ID Asig]],TablaDestino[ID Asig],TablaDestino[Cuatr])</f>
        <v>1</v>
      </c>
      <c r="I23" s="5">
        <f>_xlfn.XLOOKUP(TablaCondicionesParticulares[[#This Row],[ID Asig]],TablaDestino[ID Asig],TablaDestino[ECTS],"")</f>
        <v>6</v>
      </c>
      <c r="J23" s="5" t="str">
        <f>_xlfn.XLOOKUP(TablaCondicionesParticulares[[#This Row],[ID Asig]],TablaDestino[ID Asig],TablaDestino[Tipo],"")</f>
        <v>Básica</v>
      </c>
      <c r="R23" s="1" t="b">
        <f>AND(Tabla11[Cumple condición?],TablaCondicionesParticulares[[#This Row],[Asignaturas Adaptadas si Condicion 1]]="X")</f>
        <v>0</v>
      </c>
      <c r="S23" s="1" t="b">
        <f>AND(Tabla1113[Cumple condición?],TablaCondicionesParticulares[[#This Row],[Asignaturas Adaptadas si Condicion 2]]="X")</f>
        <v>0</v>
      </c>
      <c r="T23" s="1" t="b">
        <f>AND(Tabla111314[Cumple condición?],TablaCondicionesParticulares[[#This Row],[Asignaturas Adaptadas si Condicion 3]]="X")</f>
        <v>0</v>
      </c>
      <c r="U23" s="1"/>
      <c r="V23" s="1"/>
      <c r="W23" s="1"/>
      <c r="X23" s="1"/>
      <c r="Y23" s="1" t="str">
        <f>IF(OR(TablaCondicionesParticulares[[#This Row],[Adaptada por Condición 1]:[Adaptada por Condición 7]]),"SI","NO")</f>
        <v>NO</v>
      </c>
    </row>
    <row r="24" spans="3:25" x14ac:dyDescent="0.2">
      <c r="C24">
        <v>10</v>
      </c>
      <c r="D24" s="5" t="str">
        <f>_xlfn.XLOOKUP(TablaCondicionesParticulares[[#This Row],[ID Asig]],TablaDestino[ID Asig],TablaDestino[Módulo])</f>
        <v>Formación Básica</v>
      </c>
      <c r="E24" s="30" t="s">
        <v>164</v>
      </c>
      <c r="F24" s="5" t="str">
        <f>_xlfn.XLOOKUP(TablaCondicionesParticulares[[#This Row],[ID Asig]],TablaDestino[ID Asig],TablaDestino[Asignatura])</f>
        <v>Fundamentos aplicados de matemáticas</v>
      </c>
      <c r="G24" s="5">
        <f>_xlfn.XLOOKUP(TablaCondicionesParticulares[[#This Row],[ID Asig]],TablaDestino[ID Asig],TablaDestino[Curso])</f>
        <v>1</v>
      </c>
      <c r="H24" s="5">
        <f>_xlfn.XLOOKUP(TablaCondicionesParticulares[[#This Row],[ID Asig]],TablaDestino[ID Asig],TablaDestino[Cuatr])</f>
        <v>2</v>
      </c>
      <c r="I24" s="5">
        <f>_xlfn.XLOOKUP(TablaCondicionesParticulares[[#This Row],[ID Asig]],TablaDestino[ID Asig],TablaDestino[ECTS],"")</f>
        <v>6</v>
      </c>
      <c r="J24" s="5" t="str">
        <f>_xlfn.XLOOKUP(TablaCondicionesParticulares[[#This Row],[ID Asig]],TablaDestino[ID Asig],TablaDestino[Tipo],"")</f>
        <v>Básica</v>
      </c>
      <c r="K24" t="s">
        <v>35</v>
      </c>
      <c r="R24" s="1" t="b">
        <f>AND(Tabla11[Cumple condición?],TablaCondicionesParticulares[[#This Row],[Asignaturas Adaptadas si Condicion 1]]="X")</f>
        <v>0</v>
      </c>
      <c r="S24" s="1" t="b">
        <f>AND(Tabla1113[Cumple condición?],TablaCondicionesParticulares[[#This Row],[Asignaturas Adaptadas si Condicion 2]]="X")</f>
        <v>0</v>
      </c>
      <c r="T24" s="1" t="b">
        <f>AND(Tabla111314[Cumple condición?],TablaCondicionesParticulares[[#This Row],[Asignaturas Adaptadas si Condicion 3]]="X")</f>
        <v>0</v>
      </c>
      <c r="U24" s="1"/>
      <c r="V24" s="1"/>
      <c r="W24" s="1"/>
      <c r="X24" s="1"/>
      <c r="Y24" s="1" t="str">
        <f>IF(OR(TablaCondicionesParticulares[[#This Row],[Adaptada por Condición 1]:[Adaptada por Condición 7]]),"SI","NO")</f>
        <v>NO</v>
      </c>
    </row>
    <row r="25" spans="3:25" x14ac:dyDescent="0.2">
      <c r="C25">
        <v>11</v>
      </c>
      <c r="D25" s="5" t="str">
        <f>_xlfn.XLOOKUP(TablaCondicionesParticulares[[#This Row],[ID Asig]],TablaDestino[ID Asig],TablaDestino[Módulo])</f>
        <v>Formación común a la rama Náutico-Marina</v>
      </c>
      <c r="E25" s="30" t="s">
        <v>8</v>
      </c>
      <c r="F25" s="5" t="str">
        <f>_xlfn.XLOOKUP(TablaCondicionesParticulares[[#This Row],[ID Asig]],TablaDestino[ID Asig],TablaDestino[Asignatura])</f>
        <v>Supervivencia y Lucha Contra Incendios</v>
      </c>
      <c r="G25" s="5">
        <f>_xlfn.XLOOKUP(TablaCondicionesParticulares[[#This Row],[ID Asig]],TablaDestino[ID Asig],TablaDestino[Curso])</f>
        <v>2</v>
      </c>
      <c r="H25" s="5">
        <f>_xlfn.XLOOKUP(TablaCondicionesParticulares[[#This Row],[ID Asig]],TablaDestino[ID Asig],TablaDestino[Cuatr])</f>
        <v>2</v>
      </c>
      <c r="I25" s="5">
        <f>_xlfn.XLOOKUP(TablaCondicionesParticulares[[#This Row],[ID Asig]],TablaDestino[ID Asig],TablaDestino[ECTS],"")</f>
        <v>6</v>
      </c>
      <c r="J25" s="5" t="str">
        <f>_xlfn.XLOOKUP(TablaCondicionesParticulares[[#This Row],[ID Asig]],TablaDestino[ID Asig],TablaDestino[Tipo],"")</f>
        <v>Obligatoria</v>
      </c>
      <c r="R25" s="1" t="b">
        <f>AND(Tabla11[Cumple condición?],TablaCondicionesParticulares[[#This Row],[Asignaturas Adaptadas si Condicion 1]]="X")</f>
        <v>0</v>
      </c>
      <c r="S25" s="1" t="b">
        <f>AND(Tabla1113[Cumple condición?],TablaCondicionesParticulares[[#This Row],[Asignaturas Adaptadas si Condicion 2]]="X")</f>
        <v>0</v>
      </c>
      <c r="T25" s="1" t="b">
        <f>AND(Tabla111314[Cumple condición?],TablaCondicionesParticulares[[#This Row],[Asignaturas Adaptadas si Condicion 3]]="X")</f>
        <v>0</v>
      </c>
      <c r="U25" s="1"/>
      <c r="V25" s="1"/>
      <c r="W25" s="1"/>
      <c r="X25" s="1"/>
      <c r="Y25" s="1" t="str">
        <f>IF(OR(TablaCondicionesParticulares[[#This Row],[Adaptada por Condición 1]:[Adaptada por Condición 7]]),"SI","NO")</f>
        <v>NO</v>
      </c>
    </row>
    <row r="26" spans="3:25" x14ac:dyDescent="0.2">
      <c r="C26">
        <v>12</v>
      </c>
      <c r="D26" s="5" t="str">
        <f>_xlfn.XLOOKUP(TablaCondicionesParticulares[[#This Row],[ID Asig]],TablaDestino[ID Asig],TablaDestino[Módulo])</f>
        <v>Formación común a la rama Náutico-Marina</v>
      </c>
      <c r="E26" s="30" t="s">
        <v>6</v>
      </c>
      <c r="F26" s="5" t="str">
        <f>_xlfn.XLOOKUP(TablaCondicionesParticulares[[#This Row],[ID Asig]],TablaDestino[ID Asig],TablaDestino[Asignatura])</f>
        <v xml:space="preserve">Seguridad del Buque y Prevención de la Contaminación </v>
      </c>
      <c r="G26" s="5">
        <f>_xlfn.XLOOKUP(TablaCondicionesParticulares[[#This Row],[ID Asig]],TablaDestino[ID Asig],TablaDestino[Curso])</f>
        <v>2</v>
      </c>
      <c r="H26" s="5">
        <f>_xlfn.XLOOKUP(TablaCondicionesParticulares[[#This Row],[ID Asig]],TablaDestino[ID Asig],TablaDestino[Cuatr])</f>
        <v>1</v>
      </c>
      <c r="I26" s="5">
        <f>_xlfn.XLOOKUP(TablaCondicionesParticulares[[#This Row],[ID Asig]],TablaDestino[ID Asig],TablaDestino[ECTS],"")</f>
        <v>6</v>
      </c>
      <c r="J26" s="5" t="str">
        <f>_xlfn.XLOOKUP(TablaCondicionesParticulares[[#This Row],[ID Asig]],TablaDestino[ID Asig],TablaDestino[Tipo],"")</f>
        <v>Obligatoria</v>
      </c>
      <c r="R26" s="1" t="b">
        <f>AND(Tabla11[Cumple condición?],TablaCondicionesParticulares[[#This Row],[Asignaturas Adaptadas si Condicion 1]]="X")</f>
        <v>0</v>
      </c>
      <c r="S26" s="1" t="b">
        <f>AND(Tabla1113[Cumple condición?],TablaCondicionesParticulares[[#This Row],[Asignaturas Adaptadas si Condicion 2]]="X")</f>
        <v>0</v>
      </c>
      <c r="T26" s="1" t="b">
        <f>AND(Tabla111314[Cumple condición?],TablaCondicionesParticulares[[#This Row],[Asignaturas Adaptadas si Condicion 3]]="X")</f>
        <v>0</v>
      </c>
      <c r="U26" s="1"/>
      <c r="V26" s="1"/>
      <c r="W26" s="1"/>
      <c r="X26" s="1"/>
      <c r="Y26" s="1" t="str">
        <f>IF(OR(TablaCondicionesParticulares[[#This Row],[Adaptada por Condición 1]:[Adaptada por Condición 7]]),"SI","NO")</f>
        <v>NO</v>
      </c>
    </row>
    <row r="27" spans="3:25" x14ac:dyDescent="0.2">
      <c r="C27">
        <v>13</v>
      </c>
      <c r="D27" s="5" t="str">
        <f>_xlfn.XLOOKUP(TablaCondicionesParticulares[[#This Row],[ID Asig]],TablaDestino[ID Asig],TablaDestino[Módulo])</f>
        <v>Formación común a la rama Náutico-Marina</v>
      </c>
      <c r="E27" s="30" t="s">
        <v>7</v>
      </c>
      <c r="F27" s="5" t="str">
        <f>_xlfn.XLOOKUP(TablaCondicionesParticulares[[#This Row],[ID Asig]],TablaDestino[ID Asig],TablaDestino[Asignatura])</f>
        <v>Sistemas Principales y Auxiliares del Buque</v>
      </c>
      <c r="G27" s="5">
        <f>_xlfn.XLOOKUP(TablaCondicionesParticulares[[#This Row],[ID Asig]],TablaDestino[ID Asig],TablaDestino[Curso])</f>
        <v>2</v>
      </c>
      <c r="H27" s="5">
        <f>_xlfn.XLOOKUP(TablaCondicionesParticulares[[#This Row],[ID Asig]],TablaDestino[ID Asig],TablaDestino[Cuatr])</f>
        <v>1</v>
      </c>
      <c r="I27" s="5">
        <f>_xlfn.XLOOKUP(TablaCondicionesParticulares[[#This Row],[ID Asig]],TablaDestino[ID Asig],TablaDestino[ECTS],"")</f>
        <v>6</v>
      </c>
      <c r="J27" s="5" t="str">
        <f>_xlfn.XLOOKUP(TablaCondicionesParticulares[[#This Row],[ID Asig]],TablaDestino[ID Asig],TablaDestino[Tipo],"")</f>
        <v>Obligatoria</v>
      </c>
      <c r="R27" s="1" t="b">
        <f>AND(Tabla11[Cumple condición?],TablaCondicionesParticulares[[#This Row],[Asignaturas Adaptadas si Condicion 1]]="X")</f>
        <v>0</v>
      </c>
      <c r="S27" s="1" t="b">
        <f>AND(Tabla1113[Cumple condición?],TablaCondicionesParticulares[[#This Row],[Asignaturas Adaptadas si Condicion 2]]="X")</f>
        <v>0</v>
      </c>
      <c r="T27" s="1" t="b">
        <f>AND(Tabla111314[Cumple condición?],TablaCondicionesParticulares[[#This Row],[Asignaturas Adaptadas si Condicion 3]]="X")</f>
        <v>0</v>
      </c>
      <c r="U27" s="1"/>
      <c r="V27" s="1"/>
      <c r="W27" s="1"/>
      <c r="X27" s="1"/>
      <c r="Y27" s="1" t="str">
        <f>IF(OR(TablaCondicionesParticulares[[#This Row],[Adaptada por Condición 1]:[Adaptada por Condición 7]]),"SI","NO")</f>
        <v>NO</v>
      </c>
    </row>
    <row r="28" spans="3:25" x14ac:dyDescent="0.2">
      <c r="C28">
        <v>14</v>
      </c>
      <c r="D28" s="5" t="str">
        <f>_xlfn.XLOOKUP(TablaCondicionesParticulares[[#This Row],[ID Asig]],TablaDestino[ID Asig],TablaDestino[Módulo])</f>
        <v>Formación común a la rama Náutico-Marina</v>
      </c>
      <c r="E28" s="30" t="s">
        <v>10</v>
      </c>
      <c r="F28" s="5" t="str">
        <f>_xlfn.XLOOKUP(TablaCondicionesParticulares[[#This Row],[ID Asig]],TablaDestino[ID Asig],TablaDestino[Asignatura])</f>
        <v>Teoría del Buque y Construcción Naval</v>
      </c>
      <c r="G28" s="5">
        <f>_xlfn.XLOOKUP(TablaCondicionesParticulares[[#This Row],[ID Asig]],TablaDestino[ID Asig],TablaDestino[Curso])</f>
        <v>2</v>
      </c>
      <c r="H28" s="5">
        <f>_xlfn.XLOOKUP(TablaCondicionesParticulares[[#This Row],[ID Asig]],TablaDestino[ID Asig],TablaDestino[Cuatr])</f>
        <v>1</v>
      </c>
      <c r="I28" s="5">
        <f>_xlfn.XLOOKUP(TablaCondicionesParticulares[[#This Row],[ID Asig]],TablaDestino[ID Asig],TablaDestino[ECTS],"")</f>
        <v>6</v>
      </c>
      <c r="J28" s="5" t="str">
        <f>_xlfn.XLOOKUP(TablaCondicionesParticulares[[#This Row],[ID Asig]],TablaDestino[ID Asig],TablaDestino[Tipo],"")</f>
        <v>Obligatoria</v>
      </c>
      <c r="R28" s="1" t="b">
        <f>AND(Tabla11[Cumple condición?],TablaCondicionesParticulares[[#This Row],[Asignaturas Adaptadas si Condicion 1]]="X")</f>
        <v>0</v>
      </c>
      <c r="S28" s="1" t="b">
        <f>AND(Tabla1113[Cumple condición?],TablaCondicionesParticulares[[#This Row],[Asignaturas Adaptadas si Condicion 2]]="X")</f>
        <v>0</v>
      </c>
      <c r="T28" s="1" t="b">
        <f>AND(Tabla111314[Cumple condición?],TablaCondicionesParticulares[[#This Row],[Asignaturas Adaptadas si Condicion 3]]="X")</f>
        <v>0</v>
      </c>
      <c r="U28" s="1"/>
      <c r="V28" s="1"/>
      <c r="W28" s="1"/>
      <c r="X28" s="1"/>
      <c r="Y28" s="1" t="str">
        <f>IF(OR(TablaCondicionesParticulares[[#This Row],[Adaptada por Condición 1]:[Adaptada por Condición 7]]),"SI","NO")</f>
        <v>NO</v>
      </c>
    </row>
    <row r="29" spans="3:25" x14ac:dyDescent="0.2">
      <c r="C29">
        <v>15</v>
      </c>
      <c r="D29" s="5" t="str">
        <f>_xlfn.XLOOKUP(TablaCondicionesParticulares[[#This Row],[ID Asig]],TablaDestino[ID Asig],TablaDestino[Módulo])</f>
        <v>Formación común a la rama Náutico-Marina</v>
      </c>
      <c r="E29" s="30" t="s">
        <v>11</v>
      </c>
      <c r="F29" s="5" t="str">
        <f>_xlfn.XLOOKUP(TablaCondicionesParticulares[[#This Row],[ID Asig]],TablaDestino[ID Asig],TablaDestino[Asignatura])</f>
        <v>Electrónica y Automática</v>
      </c>
      <c r="G29" s="5">
        <f>_xlfn.XLOOKUP(TablaCondicionesParticulares[[#This Row],[ID Asig]],TablaDestino[ID Asig],TablaDestino[Curso])</f>
        <v>2</v>
      </c>
      <c r="H29" s="5">
        <f>_xlfn.XLOOKUP(TablaCondicionesParticulares[[#This Row],[ID Asig]],TablaDestino[ID Asig],TablaDestino[Cuatr])</f>
        <v>1</v>
      </c>
      <c r="I29" s="5">
        <f>_xlfn.XLOOKUP(TablaCondicionesParticulares[[#This Row],[ID Asig]],TablaDestino[ID Asig],TablaDestino[ECTS],"")</f>
        <v>6</v>
      </c>
      <c r="J29" s="5" t="str">
        <f>_xlfn.XLOOKUP(TablaCondicionesParticulares[[#This Row],[ID Asig]],TablaDestino[ID Asig],TablaDestino[Tipo],"")</f>
        <v>Obligatoria</v>
      </c>
      <c r="R29" s="1" t="b">
        <f>AND(Tabla11[Cumple condición?],TablaCondicionesParticulares[[#This Row],[Asignaturas Adaptadas si Condicion 1]]="X")</f>
        <v>0</v>
      </c>
      <c r="S29" s="1" t="b">
        <f>AND(Tabla1113[Cumple condición?],TablaCondicionesParticulares[[#This Row],[Asignaturas Adaptadas si Condicion 2]]="X")</f>
        <v>0</v>
      </c>
      <c r="T29" s="1" t="b">
        <f>AND(Tabla111314[Cumple condición?],TablaCondicionesParticulares[[#This Row],[Asignaturas Adaptadas si Condicion 3]]="X")</f>
        <v>0</v>
      </c>
      <c r="U29" s="1"/>
      <c r="V29" s="1"/>
      <c r="W29" s="1"/>
      <c r="X29" s="1"/>
      <c r="Y29" s="1" t="str">
        <f>IF(OR(TablaCondicionesParticulares[[#This Row],[Adaptada por Condición 1]:[Adaptada por Condición 7]]),"SI","NO")</f>
        <v>NO</v>
      </c>
    </row>
    <row r="30" spans="3:25" x14ac:dyDescent="0.2">
      <c r="C30">
        <v>16</v>
      </c>
      <c r="D30" s="5" t="str">
        <f>_xlfn.XLOOKUP(TablaCondicionesParticulares[[#This Row],[ID Asig]],TablaDestino[ID Asig],TablaDestino[Módulo])</f>
        <v>Formación común a la rama Náutico-Marina</v>
      </c>
      <c r="E30" s="30" t="s">
        <v>4</v>
      </c>
      <c r="F30" s="5" t="str">
        <f>_xlfn.XLOOKUP(TablaCondicionesParticulares[[#This Row],[ID Asig]],TablaDestino[ID Asig],TablaDestino[Asignatura])</f>
        <v>Electrotecnia marina</v>
      </c>
      <c r="G30" s="5">
        <f>_xlfn.XLOOKUP(TablaCondicionesParticulares[[#This Row],[ID Asig]],TablaDestino[ID Asig],TablaDestino[Curso])</f>
        <v>2</v>
      </c>
      <c r="H30" s="5">
        <f>_xlfn.XLOOKUP(TablaCondicionesParticulares[[#This Row],[ID Asig]],TablaDestino[ID Asig],TablaDestino[Cuatr])</f>
        <v>2</v>
      </c>
      <c r="I30" s="5">
        <f>_xlfn.XLOOKUP(TablaCondicionesParticulares[[#This Row],[ID Asig]],TablaDestino[ID Asig],TablaDestino[ECTS],"")</f>
        <v>6</v>
      </c>
      <c r="J30" s="5" t="str">
        <f>_xlfn.XLOOKUP(TablaCondicionesParticulares[[#This Row],[ID Asig]],TablaDestino[ID Asig],TablaDestino[Tipo],"")</f>
        <v>Obligatoria</v>
      </c>
      <c r="R30" s="1" t="b">
        <f>AND(Tabla11[Cumple condición?],TablaCondicionesParticulares[[#This Row],[Asignaturas Adaptadas si Condicion 1]]="X")</f>
        <v>0</v>
      </c>
      <c r="S30" s="1" t="b">
        <f>AND(Tabla1113[Cumple condición?],TablaCondicionesParticulares[[#This Row],[Asignaturas Adaptadas si Condicion 2]]="X")</f>
        <v>0</v>
      </c>
      <c r="T30" s="1" t="b">
        <f>AND(Tabla111314[Cumple condición?],TablaCondicionesParticulares[[#This Row],[Asignaturas Adaptadas si Condicion 3]]="X")</f>
        <v>0</v>
      </c>
      <c r="U30" s="1"/>
      <c r="V30" s="1"/>
      <c r="W30" s="1"/>
      <c r="X30" s="1"/>
      <c r="Y30" s="1" t="str">
        <f>IF(OR(TablaCondicionesParticulares[[#This Row],[Adaptada por Condición 1]:[Adaptada por Condición 7]]),"SI","NO")</f>
        <v>NO</v>
      </c>
    </row>
    <row r="31" spans="3:25" x14ac:dyDescent="0.2">
      <c r="C31">
        <v>17</v>
      </c>
      <c r="D31" s="5" t="str">
        <f>_xlfn.XLOOKUP(TablaCondicionesParticulares[[#This Row],[ID Asig]],TablaDestino[ID Asig],TablaDestino[Módulo])</f>
        <v>Formación común a la rama Náutico-Marina</v>
      </c>
      <c r="E31" s="30" t="s">
        <v>9</v>
      </c>
      <c r="F31" s="5" t="str">
        <f>_xlfn.XLOOKUP(TablaCondicionesParticulares[[#This Row],[ID Asig]],TablaDestino[ID Asig],TablaDestino[Asignatura])</f>
        <v>Derecho Marítimo</v>
      </c>
      <c r="G31" s="5">
        <f>_xlfn.XLOOKUP(TablaCondicionesParticulares[[#This Row],[ID Asig]],TablaDestino[ID Asig],TablaDestino[Curso])</f>
        <v>2</v>
      </c>
      <c r="H31" s="5">
        <f>_xlfn.XLOOKUP(TablaCondicionesParticulares[[#This Row],[ID Asig]],TablaDestino[ID Asig],TablaDestino[Cuatr])</f>
        <v>1</v>
      </c>
      <c r="I31" s="5">
        <f>_xlfn.XLOOKUP(TablaCondicionesParticulares[[#This Row],[ID Asig]],TablaDestino[ID Asig],TablaDestino[ECTS],"")</f>
        <v>6</v>
      </c>
      <c r="J31" s="5" t="str">
        <f>_xlfn.XLOOKUP(TablaCondicionesParticulares[[#This Row],[ID Asig]],TablaDestino[ID Asig],TablaDestino[Tipo],"")</f>
        <v>Obligatoria</v>
      </c>
      <c r="R31" s="1" t="b">
        <f>AND(Tabla11[Cumple condición?],TablaCondicionesParticulares[[#This Row],[Asignaturas Adaptadas si Condicion 1]]="X")</f>
        <v>0</v>
      </c>
      <c r="S31" s="1" t="b">
        <f>AND(Tabla1113[Cumple condición?],TablaCondicionesParticulares[[#This Row],[Asignaturas Adaptadas si Condicion 2]]="X")</f>
        <v>0</v>
      </c>
      <c r="T31" s="1" t="b">
        <f>AND(Tabla111314[Cumple condición?],TablaCondicionesParticulares[[#This Row],[Asignaturas Adaptadas si Condicion 3]]="X")</f>
        <v>0</v>
      </c>
      <c r="U31" s="1"/>
      <c r="V31" s="1"/>
      <c r="W31" s="1"/>
      <c r="X31" s="1"/>
      <c r="Y31" s="1" t="str">
        <f>IF(OR(TablaCondicionesParticulares[[#This Row],[Adaptada por Condición 1]:[Adaptada por Condición 7]]),"SI","NO")</f>
        <v>NO</v>
      </c>
    </row>
    <row r="32" spans="3:25" x14ac:dyDescent="0.2">
      <c r="C32">
        <v>18</v>
      </c>
      <c r="D32" s="5" t="str">
        <f>_xlfn.XLOOKUP(TablaCondicionesParticulares[[#This Row],[ID Asig]],TablaDestino[ID Asig],TablaDestino[Módulo])</f>
        <v>Formación común a la rama Náutico-Marina</v>
      </c>
      <c r="E32" s="30" t="s">
        <v>3</v>
      </c>
      <c r="F32" s="5" t="str">
        <f>_xlfn.XLOOKUP(TablaCondicionesParticulares[[#This Row],[ID Asig]],TablaDestino[ID Asig],TablaDestino[Asignatura])</f>
        <v>Medicina Marítima</v>
      </c>
      <c r="G32" s="5">
        <f>_xlfn.XLOOKUP(TablaCondicionesParticulares[[#This Row],[ID Asig]],TablaDestino[ID Asig],TablaDestino[Curso])</f>
        <v>2</v>
      </c>
      <c r="H32" s="5">
        <f>_xlfn.XLOOKUP(TablaCondicionesParticulares[[#This Row],[ID Asig]],TablaDestino[ID Asig],TablaDestino[Cuatr])</f>
        <v>2</v>
      </c>
      <c r="I32" s="5">
        <f>_xlfn.XLOOKUP(TablaCondicionesParticulares[[#This Row],[ID Asig]],TablaDestino[ID Asig],TablaDestino[ECTS],"")</f>
        <v>6</v>
      </c>
      <c r="J32" s="5" t="str">
        <f>_xlfn.XLOOKUP(TablaCondicionesParticulares[[#This Row],[ID Asig]],TablaDestino[ID Asig],TablaDestino[Tipo],"")</f>
        <v>Obligatoria</v>
      </c>
      <c r="R32" s="1" t="b">
        <f>AND(Tabla11[Cumple condición?],TablaCondicionesParticulares[[#This Row],[Asignaturas Adaptadas si Condicion 1]]="X")</f>
        <v>0</v>
      </c>
      <c r="S32" s="1" t="b">
        <f>AND(Tabla1113[Cumple condición?],TablaCondicionesParticulares[[#This Row],[Asignaturas Adaptadas si Condicion 2]]="X")</f>
        <v>0</v>
      </c>
      <c r="T32" s="1" t="b">
        <f>AND(Tabla111314[Cumple condición?],TablaCondicionesParticulares[[#This Row],[Asignaturas Adaptadas si Condicion 3]]="X")</f>
        <v>0</v>
      </c>
      <c r="U32" s="1"/>
      <c r="V32" s="1"/>
      <c r="W32" s="1"/>
      <c r="X32" s="1"/>
      <c r="Y32" s="1" t="str">
        <f>IF(OR(TablaCondicionesParticulares[[#This Row],[Adaptada por Condición 1]:[Adaptada por Condición 7]]),"SI","NO")</f>
        <v>NO</v>
      </c>
    </row>
    <row r="33" spans="3:25" x14ac:dyDescent="0.2">
      <c r="C33">
        <v>19</v>
      </c>
      <c r="D33" s="5" t="str">
        <f>_xlfn.XLOOKUP(TablaCondicionesParticulares[[#This Row],[ID Asig]],TablaDestino[ID Asig],TablaDestino[Módulo])</f>
        <v>Formación Específica en Tecnologías Marinas</v>
      </c>
      <c r="E33" s="30" t="s">
        <v>174</v>
      </c>
      <c r="F33" s="5" t="str">
        <f>_xlfn.XLOOKUP(TablaCondicionesParticulares[[#This Row],[ID Asig]],TablaDestino[ID Asig],TablaDestino[Asignatura])</f>
        <v>Motores marinos y Propulsión</v>
      </c>
      <c r="G33" s="5">
        <f>_xlfn.XLOOKUP(TablaCondicionesParticulares[[#This Row],[ID Asig]],TablaDestino[ID Asig],TablaDestino[Curso])</f>
        <v>3</v>
      </c>
      <c r="H33" s="5">
        <f>_xlfn.XLOOKUP(TablaCondicionesParticulares[[#This Row],[ID Asig]],TablaDestino[ID Asig],TablaDestino[Cuatr])</f>
        <v>2</v>
      </c>
      <c r="I33" s="5">
        <f>_xlfn.XLOOKUP(TablaCondicionesParticulares[[#This Row],[ID Asig]],TablaDestino[ID Asig],TablaDestino[ECTS],"")</f>
        <v>6</v>
      </c>
      <c r="J33" s="5" t="str">
        <f>_xlfn.XLOOKUP(TablaCondicionesParticulares[[#This Row],[ID Asig]],TablaDestino[ID Asig],TablaDestino[Tipo],"")</f>
        <v>Obligatoria</v>
      </c>
      <c r="R33" s="1" t="b">
        <f>AND(Tabla11[Cumple condición?],TablaCondicionesParticulares[[#This Row],[Asignaturas Adaptadas si Condicion 1]]="X")</f>
        <v>0</v>
      </c>
      <c r="S33" s="1" t="b">
        <f>AND(Tabla1113[Cumple condición?],TablaCondicionesParticulares[[#This Row],[Asignaturas Adaptadas si Condicion 2]]="X")</f>
        <v>0</v>
      </c>
      <c r="T33" s="1" t="b">
        <f>AND(Tabla111314[Cumple condición?],TablaCondicionesParticulares[[#This Row],[Asignaturas Adaptadas si Condicion 3]]="X")</f>
        <v>0</v>
      </c>
      <c r="U33" s="1"/>
      <c r="V33" s="1"/>
      <c r="W33" s="1"/>
      <c r="X33" s="1"/>
      <c r="Y33" s="1" t="str">
        <f>IF(OR(TablaCondicionesParticulares[[#This Row],[Adaptada por Condición 1]:[Adaptada por Condición 7]]),"SI","NO")</f>
        <v>NO</v>
      </c>
    </row>
    <row r="34" spans="3:25" x14ac:dyDescent="0.2">
      <c r="C34">
        <v>20</v>
      </c>
      <c r="D34" s="5" t="str">
        <f>_xlfn.XLOOKUP(TablaCondicionesParticulares[[#This Row],[ID Asig]],TablaDestino[ID Asig],TablaDestino[Módulo])</f>
        <v>Formación Específica en Tecnologías Marinas</v>
      </c>
      <c r="E34" s="30" t="s">
        <v>176</v>
      </c>
      <c r="F34" s="5" t="str">
        <f>_xlfn.XLOOKUP(TablaCondicionesParticulares[[#This Row],[ID Asig]],TablaDestino[ID Asig],TablaDestino[Asignatura])</f>
        <v>Generadores marinos de vapor</v>
      </c>
      <c r="G34" s="5">
        <f>_xlfn.XLOOKUP(TablaCondicionesParticulares[[#This Row],[ID Asig]],TablaDestino[ID Asig],TablaDestino[Curso])</f>
        <v>3</v>
      </c>
      <c r="H34" s="5">
        <f>_xlfn.XLOOKUP(TablaCondicionesParticulares[[#This Row],[ID Asig]],TablaDestino[ID Asig],TablaDestino[Cuatr])</f>
        <v>1</v>
      </c>
      <c r="I34" s="5">
        <f>_xlfn.XLOOKUP(TablaCondicionesParticulares[[#This Row],[ID Asig]],TablaDestino[ID Asig],TablaDestino[ECTS],"")</f>
        <v>6</v>
      </c>
      <c r="J34" s="5" t="str">
        <f>_xlfn.XLOOKUP(TablaCondicionesParticulares[[#This Row],[ID Asig]],TablaDestino[ID Asig],TablaDestino[Tipo],"")</f>
        <v>Obligatoria</v>
      </c>
      <c r="R34" s="1" t="b">
        <f>AND(Tabla11[Cumple condición?],TablaCondicionesParticulares[[#This Row],[Asignaturas Adaptadas si Condicion 1]]="X")</f>
        <v>0</v>
      </c>
      <c r="S34" s="1" t="b">
        <f>AND(Tabla1113[Cumple condición?],TablaCondicionesParticulares[[#This Row],[Asignaturas Adaptadas si Condicion 2]]="X")</f>
        <v>0</v>
      </c>
      <c r="T34" s="1" t="b">
        <f>AND(Tabla111314[Cumple condición?],TablaCondicionesParticulares[[#This Row],[Asignaturas Adaptadas si Condicion 3]]="X")</f>
        <v>0</v>
      </c>
      <c r="U34" s="1"/>
      <c r="V34" s="1"/>
      <c r="W34" s="1"/>
      <c r="X34" s="1"/>
      <c r="Y34" s="1" t="str">
        <f>IF(OR(TablaCondicionesParticulares[[#This Row],[Adaptada por Condición 1]:[Adaptada por Condición 7]]),"SI","NO")</f>
        <v>NO</v>
      </c>
    </row>
    <row r="35" spans="3:25" x14ac:dyDescent="0.2">
      <c r="C35">
        <v>21</v>
      </c>
      <c r="D35" s="5" t="str">
        <f>_xlfn.XLOOKUP(TablaCondicionesParticulares[[#This Row],[ID Asig]],TablaDestino[ID Asig],TablaDestino[Módulo])</f>
        <v>Formación Específica en Tecnologías Marinas</v>
      </c>
      <c r="E35" s="30" t="s">
        <v>178</v>
      </c>
      <c r="F35" s="5" t="str">
        <f>_xlfn.XLOOKUP(TablaCondicionesParticulares[[#This Row],[ID Asig]],TablaDestino[ID Asig],TablaDestino[Asignatura])</f>
        <v>Gestión Integral del Mantenimiento y Guardia en Máquinas</v>
      </c>
      <c r="G35" s="5">
        <f>_xlfn.XLOOKUP(TablaCondicionesParticulares[[#This Row],[ID Asig]],TablaDestino[ID Asig],TablaDestino[Curso])</f>
        <v>3</v>
      </c>
      <c r="H35" s="5">
        <f>_xlfn.XLOOKUP(TablaCondicionesParticulares[[#This Row],[ID Asig]],TablaDestino[ID Asig],TablaDestino[Cuatr])</f>
        <v>2</v>
      </c>
      <c r="I35" s="5">
        <f>_xlfn.XLOOKUP(TablaCondicionesParticulares[[#This Row],[ID Asig]],TablaDestino[ID Asig],TablaDestino[ECTS],"")</f>
        <v>6</v>
      </c>
      <c r="J35" s="5" t="str">
        <f>_xlfn.XLOOKUP(TablaCondicionesParticulares[[#This Row],[ID Asig]],TablaDestino[ID Asig],TablaDestino[Tipo],"")</f>
        <v>Obligatoria</v>
      </c>
      <c r="R35" s="1" t="b">
        <f>AND(Tabla11[Cumple condición?],TablaCondicionesParticulares[[#This Row],[Asignaturas Adaptadas si Condicion 1]]="X")</f>
        <v>0</v>
      </c>
      <c r="S35" s="1" t="b">
        <f>AND(Tabla1113[Cumple condición?],TablaCondicionesParticulares[[#This Row],[Asignaturas Adaptadas si Condicion 2]]="X")</f>
        <v>0</v>
      </c>
      <c r="T35" s="1" t="b">
        <f>AND(Tabla111314[Cumple condición?],TablaCondicionesParticulares[[#This Row],[Asignaturas Adaptadas si Condicion 3]]="X")</f>
        <v>0</v>
      </c>
      <c r="U35" s="1"/>
      <c r="V35" s="1"/>
      <c r="W35" s="1"/>
      <c r="X35" s="1"/>
      <c r="Y35" s="1" t="str">
        <f>IF(OR(TablaCondicionesParticulares[[#This Row],[Adaptada por Condición 1]:[Adaptada por Condición 7]]),"SI","NO")</f>
        <v>NO</v>
      </c>
    </row>
    <row r="36" spans="3:25" x14ac:dyDescent="0.2">
      <c r="C36">
        <v>31</v>
      </c>
      <c r="D36" s="5" t="str">
        <f>_xlfn.XLOOKUP(TablaCondicionesParticulares[[#This Row],[ID Asig]],TablaDestino[ID Asig],TablaDestino[Módulo])</f>
        <v>Formación Específica en Tecnologías Marinas</v>
      </c>
      <c r="E36" s="30" t="s">
        <v>180</v>
      </c>
      <c r="F36" s="5" t="str">
        <f>_xlfn.XLOOKUP(TablaCondicionesParticulares[[#This Row],[ID Asig]],TablaDestino[ID Asig],TablaDestino[Asignatura])</f>
        <v>Motores marinos de Combustión Interna</v>
      </c>
      <c r="G36" s="5">
        <f>_xlfn.XLOOKUP(TablaCondicionesParticulares[[#This Row],[ID Asig]],TablaDestino[ID Asig],TablaDestino[Curso])</f>
        <v>3</v>
      </c>
      <c r="H36" s="5">
        <f>_xlfn.XLOOKUP(TablaCondicionesParticulares[[#This Row],[ID Asig]],TablaDestino[ID Asig],TablaDestino[Cuatr])</f>
        <v>1</v>
      </c>
      <c r="I36" s="5">
        <f>_xlfn.XLOOKUP(TablaCondicionesParticulares[[#This Row],[ID Asig]],TablaDestino[ID Asig],TablaDestino[ECTS],"")</f>
        <v>6</v>
      </c>
      <c r="J36" s="5" t="str">
        <f>_xlfn.XLOOKUP(TablaCondicionesParticulares[[#This Row],[ID Asig]],TablaDestino[ID Asig],TablaDestino[Tipo],"")</f>
        <v>Obligatoria</v>
      </c>
      <c r="R36" s="1" t="b">
        <f>AND(Tabla11[Cumple condición?],TablaCondicionesParticulares[[#This Row],[Asignaturas Adaptadas si Condicion 1]]="X")</f>
        <v>0</v>
      </c>
      <c r="S36" s="1" t="b">
        <f>AND(Tabla1113[Cumple condición?],TablaCondicionesParticulares[[#This Row],[Asignaturas Adaptadas si Condicion 2]]="X")</f>
        <v>0</v>
      </c>
      <c r="T36" s="1" t="b">
        <f>AND(Tabla111314[Cumple condición?],TablaCondicionesParticulares[[#This Row],[Asignaturas Adaptadas si Condicion 3]]="X")</f>
        <v>0</v>
      </c>
      <c r="U36" s="1"/>
      <c r="V36" s="1"/>
      <c r="W36" s="1"/>
      <c r="X36" s="1"/>
      <c r="Y36" s="1" t="str">
        <f>IF(OR(TablaCondicionesParticulares[[#This Row],[Adaptada por Condición 1]:[Adaptada por Condición 7]]),"SI","NO")</f>
        <v>NO</v>
      </c>
    </row>
    <row r="37" spans="3:25" x14ac:dyDescent="0.2">
      <c r="C37">
        <v>32</v>
      </c>
      <c r="D37" s="5" t="str">
        <f>_xlfn.XLOOKUP(TablaCondicionesParticulares[[#This Row],[ID Asig]],TablaDestino[ID Asig],TablaDestino[Módulo])</f>
        <v>Formación Específica en Tecnologías Marinas</v>
      </c>
      <c r="E37" s="30" t="s">
        <v>182</v>
      </c>
      <c r="F37" s="5" t="str">
        <f>_xlfn.XLOOKUP(TablaCondicionesParticulares[[#This Row],[ID Asig]],TablaDestino[ID Asig],TablaDestino[Asignatura])</f>
        <v>Técnicas de Frío y Climatización en el buque</v>
      </c>
      <c r="G37" s="5">
        <f>_xlfn.XLOOKUP(TablaCondicionesParticulares[[#This Row],[ID Asig]],TablaDestino[ID Asig],TablaDestino[Curso])</f>
        <v>3</v>
      </c>
      <c r="H37" s="5">
        <f>_xlfn.XLOOKUP(TablaCondicionesParticulares[[#This Row],[ID Asig]],TablaDestino[ID Asig],TablaDestino[Cuatr])</f>
        <v>2</v>
      </c>
      <c r="I37" s="5">
        <f>_xlfn.XLOOKUP(TablaCondicionesParticulares[[#This Row],[ID Asig]],TablaDestino[ID Asig],TablaDestino[ECTS],"")</f>
        <v>6</v>
      </c>
      <c r="J37" s="5" t="str">
        <f>_xlfn.XLOOKUP(TablaCondicionesParticulares[[#This Row],[ID Asig]],TablaDestino[ID Asig],TablaDestino[Tipo],"")</f>
        <v>Obligatoria</v>
      </c>
      <c r="R37" s="1" t="b">
        <f>AND(Tabla11[Cumple condición?],TablaCondicionesParticulares[[#This Row],[Asignaturas Adaptadas si Condicion 1]]="X")</f>
        <v>0</v>
      </c>
      <c r="S37" s="1" t="b">
        <f>AND(Tabla1113[Cumple condición?],TablaCondicionesParticulares[[#This Row],[Asignaturas Adaptadas si Condicion 2]]="X")</f>
        <v>0</v>
      </c>
      <c r="T37" s="1" t="b">
        <f>AND(Tabla111314[Cumple condición?],TablaCondicionesParticulares[[#This Row],[Asignaturas Adaptadas si Condicion 3]]="X")</f>
        <v>0</v>
      </c>
      <c r="U37" s="1"/>
      <c r="V37" s="1"/>
      <c r="W37" s="1"/>
      <c r="X37" s="1"/>
      <c r="Y37" s="1" t="str">
        <f>IF(OR(TablaCondicionesParticulares[[#This Row],[Adaptada por Condición 1]:[Adaptada por Condición 7]]),"SI","NO")</f>
        <v>NO</v>
      </c>
    </row>
    <row r="38" spans="3:25" x14ac:dyDescent="0.2">
      <c r="C38">
        <v>33</v>
      </c>
      <c r="D38" s="5" t="str">
        <f>_xlfn.XLOOKUP(TablaCondicionesParticulares[[#This Row],[ID Asig]],TablaDestino[ID Asig],TablaDestino[Módulo])</f>
        <v>Formación Específica en Tecnologías Marinas</v>
      </c>
      <c r="E38" s="30" t="s">
        <v>184</v>
      </c>
      <c r="F38" s="5" t="str">
        <f>_xlfn.XLOOKUP(TablaCondicionesParticulares[[#This Row],[ID Asig]],TablaDestino[ID Asig],TablaDestino[Asignatura])</f>
        <v>Transportes especiales</v>
      </c>
      <c r="G38" s="5">
        <f>_xlfn.XLOOKUP(TablaCondicionesParticulares[[#This Row],[ID Asig]],TablaDestino[ID Asig],TablaDestino[Curso])</f>
        <v>3</v>
      </c>
      <c r="H38" s="5">
        <f>_xlfn.XLOOKUP(TablaCondicionesParticulares[[#This Row],[ID Asig]],TablaDestino[ID Asig],TablaDestino[Cuatr])</f>
        <v>1</v>
      </c>
      <c r="I38" s="5">
        <f>_xlfn.XLOOKUP(TablaCondicionesParticulares[[#This Row],[ID Asig]],TablaDestino[ID Asig],TablaDestino[ECTS],"")</f>
        <v>6</v>
      </c>
      <c r="J38" s="5" t="str">
        <f>_xlfn.XLOOKUP(TablaCondicionesParticulares[[#This Row],[ID Asig]],TablaDestino[ID Asig],TablaDestino[Tipo],"")</f>
        <v>Obligatoria</v>
      </c>
      <c r="R38" s="1" t="b">
        <f>AND(Tabla11[Cumple condición?],TablaCondicionesParticulares[[#This Row],[Asignaturas Adaptadas si Condicion 1]]="X")</f>
        <v>0</v>
      </c>
      <c r="S38" s="1" t="b">
        <f>AND(Tabla1113[Cumple condición?],TablaCondicionesParticulares[[#This Row],[Asignaturas Adaptadas si Condicion 2]]="X")</f>
        <v>0</v>
      </c>
      <c r="T38" s="1" t="b">
        <f>AND(Tabla111314[Cumple condición?],TablaCondicionesParticulares[[#This Row],[Asignaturas Adaptadas si Condicion 3]]="X")</f>
        <v>0</v>
      </c>
      <c r="U38" s="1"/>
      <c r="V38" s="1"/>
      <c r="W38" s="1"/>
      <c r="X38" s="1"/>
      <c r="Y38" s="1" t="str">
        <f>IF(OR(TablaCondicionesParticulares[[#This Row],[Adaptada por Condición 1]:[Adaptada por Condición 7]]),"SI","NO")</f>
        <v>NO</v>
      </c>
    </row>
    <row r="39" spans="3:25" x14ac:dyDescent="0.2">
      <c r="C39">
        <v>34</v>
      </c>
      <c r="D39" s="5" t="str">
        <f>_xlfn.XLOOKUP(TablaCondicionesParticulares[[#This Row],[ID Asig]],TablaDestino[ID Asig],TablaDestino[Módulo])</f>
        <v>Formación Específica en Tecnologías Marinas</v>
      </c>
      <c r="E39" s="30" t="s">
        <v>186</v>
      </c>
      <c r="F39" s="5" t="str">
        <f>_xlfn.XLOOKUP(TablaCondicionesParticulares[[#This Row],[ID Asig]],TablaDestino[ID Asig],TablaDestino[Asignatura])</f>
        <v>Turbinas marinas de vapor</v>
      </c>
      <c r="G39" s="5">
        <f>_xlfn.XLOOKUP(TablaCondicionesParticulares[[#This Row],[ID Asig]],TablaDestino[ID Asig],TablaDestino[Curso])</f>
        <v>3</v>
      </c>
      <c r="H39" s="5">
        <f>_xlfn.XLOOKUP(TablaCondicionesParticulares[[#This Row],[ID Asig]],TablaDestino[ID Asig],TablaDestino[Cuatr])</f>
        <v>2</v>
      </c>
      <c r="I39" s="5">
        <f>_xlfn.XLOOKUP(TablaCondicionesParticulares[[#This Row],[ID Asig]],TablaDestino[ID Asig],TablaDestino[ECTS],"")</f>
        <v>6</v>
      </c>
      <c r="J39" s="5" t="str">
        <f>_xlfn.XLOOKUP(TablaCondicionesParticulares[[#This Row],[ID Asig]],TablaDestino[ID Asig],TablaDestino[Tipo],"")</f>
        <v>Obligatoria</v>
      </c>
      <c r="R39" s="1" t="b">
        <f>AND(Tabla11[Cumple condición?],TablaCondicionesParticulares[[#This Row],[Asignaturas Adaptadas si Condicion 1]]="X")</f>
        <v>0</v>
      </c>
      <c r="S39" s="1" t="b">
        <f>AND(Tabla1113[Cumple condición?],TablaCondicionesParticulares[[#This Row],[Asignaturas Adaptadas si Condicion 2]]="X")</f>
        <v>0</v>
      </c>
      <c r="T39" s="1" t="b">
        <f>AND(Tabla111314[Cumple condición?],TablaCondicionesParticulares[[#This Row],[Asignaturas Adaptadas si Condicion 3]]="X")</f>
        <v>0</v>
      </c>
      <c r="U39" s="1"/>
      <c r="V39" s="1"/>
      <c r="W39" s="1"/>
      <c r="X39" s="1"/>
      <c r="Y39" s="1" t="str">
        <f>IF(OR(TablaCondicionesParticulares[[#This Row],[Adaptada por Condición 1]:[Adaptada por Condición 7]]),"SI","NO")</f>
        <v>NO</v>
      </c>
    </row>
    <row r="40" spans="3:25" x14ac:dyDescent="0.2">
      <c r="C40">
        <v>35</v>
      </c>
      <c r="D40" s="5" t="str">
        <f>_xlfn.XLOOKUP(TablaCondicionesParticulares[[#This Row],[ID Asig]],TablaDestino[ID Asig],TablaDestino[Módulo])</f>
        <v>Formación Específica en Tecnologías Marinas</v>
      </c>
      <c r="E40" s="30" t="s">
        <v>188</v>
      </c>
      <c r="F40" s="5" t="str">
        <f>_xlfn.XLOOKUP(TablaCondicionesParticulares[[#This Row],[ID Asig]],TablaDestino[ID Asig],TablaDestino[Asignatura])</f>
        <v>Electrónica de Potencia y 
Propulsión eléctrica marina</v>
      </c>
      <c r="G40" s="5">
        <f>_xlfn.XLOOKUP(TablaCondicionesParticulares[[#This Row],[ID Asig]],TablaDestino[ID Asig],TablaDestino[Curso])</f>
        <v>4</v>
      </c>
      <c r="H40" s="5">
        <f>_xlfn.XLOOKUP(TablaCondicionesParticulares[[#This Row],[ID Asig]],TablaDestino[ID Asig],TablaDestino[Cuatr])</f>
        <v>1</v>
      </c>
      <c r="I40" s="5">
        <f>_xlfn.XLOOKUP(TablaCondicionesParticulares[[#This Row],[ID Asig]],TablaDestino[ID Asig],TablaDestino[ECTS],"")</f>
        <v>6</v>
      </c>
      <c r="J40" s="5" t="str">
        <f>_xlfn.XLOOKUP(TablaCondicionesParticulares[[#This Row],[ID Asig]],TablaDestino[ID Asig],TablaDestino[Tipo],"")</f>
        <v>Obligatoria</v>
      </c>
      <c r="L40" t="s">
        <v>35</v>
      </c>
      <c r="R40" s="1" t="b">
        <f>AND(Tabla11[Cumple condición?],TablaCondicionesParticulares[[#This Row],[Asignaturas Adaptadas si Condicion 1]]="X")</f>
        <v>0</v>
      </c>
      <c r="S40" s="1" t="b">
        <f>AND(Tabla1113[Cumple condición?],TablaCondicionesParticulares[[#This Row],[Asignaturas Adaptadas si Condicion 2]]="X")</f>
        <v>0</v>
      </c>
      <c r="T40" s="1" t="b">
        <f>AND(Tabla111314[Cumple condición?],TablaCondicionesParticulares[[#This Row],[Asignaturas Adaptadas si Condicion 3]]="X")</f>
        <v>0</v>
      </c>
      <c r="U40" s="1"/>
      <c r="V40" s="1"/>
      <c r="W40" s="1"/>
      <c r="X40" s="1"/>
      <c r="Y40" s="1" t="str">
        <f>IF(OR(TablaCondicionesParticulares[[#This Row],[Adaptada por Condición 1]:[Adaptada por Condición 7]]),"SI","NO")</f>
        <v>NO</v>
      </c>
    </row>
    <row r="41" spans="3:25" x14ac:dyDescent="0.2">
      <c r="C41">
        <v>36</v>
      </c>
      <c r="D41" s="5" t="str">
        <f>_xlfn.XLOOKUP(TablaCondicionesParticulares[[#This Row],[ID Asig]],TablaDestino[ID Asig],TablaDestino[Módulo])</f>
        <v>Formación Específica en Tecnologías Marinas</v>
      </c>
      <c r="E41" s="30" t="s">
        <v>190</v>
      </c>
      <c r="F41" s="5" t="str">
        <f>_xlfn.XLOOKUP(TablaCondicionesParticulares[[#This Row],[ID Asig]],TablaDestino[ID Asig],TablaDestino[Asignatura])</f>
        <v>Gestión de Proyectos</v>
      </c>
      <c r="G41" s="5">
        <f>_xlfn.XLOOKUP(TablaCondicionesParticulares[[#This Row],[ID Asig]],TablaDestino[ID Asig],TablaDestino[Curso])</f>
        <v>4</v>
      </c>
      <c r="H41" s="5">
        <f>_xlfn.XLOOKUP(TablaCondicionesParticulares[[#This Row],[ID Asig]],TablaDestino[ID Asig],TablaDestino[Cuatr])</f>
        <v>1</v>
      </c>
      <c r="I41" s="5">
        <f>_xlfn.XLOOKUP(TablaCondicionesParticulares[[#This Row],[ID Asig]],TablaDestino[ID Asig],TablaDestino[ECTS],"")</f>
        <v>6</v>
      </c>
      <c r="J41" s="5" t="str">
        <f>_xlfn.XLOOKUP(TablaCondicionesParticulares[[#This Row],[ID Asig]],TablaDestino[ID Asig],TablaDestino[Tipo],"")</f>
        <v>Obligatoria</v>
      </c>
      <c r="R41" s="1" t="b">
        <f>AND(Tabla11[Cumple condición?],TablaCondicionesParticulares[[#This Row],[Asignaturas Adaptadas si Condicion 1]]="X")</f>
        <v>0</v>
      </c>
      <c r="S41" s="1" t="b">
        <f>AND(Tabla1113[Cumple condición?],TablaCondicionesParticulares[[#This Row],[Asignaturas Adaptadas si Condicion 2]]="X")</f>
        <v>0</v>
      </c>
      <c r="T41" s="1" t="b">
        <f>AND(Tabla111314[Cumple condición?],TablaCondicionesParticulares[[#This Row],[Asignaturas Adaptadas si Condicion 3]]="X")</f>
        <v>0</v>
      </c>
      <c r="U41" s="1"/>
      <c r="V41" s="1"/>
      <c r="W41" s="1"/>
      <c r="X41" s="1"/>
      <c r="Y41" s="1" t="str">
        <f>IF(OR(TablaCondicionesParticulares[[#This Row],[Adaptada por Condición 1]:[Adaptada por Condición 7]]),"SI","NO")</f>
        <v>NO</v>
      </c>
    </row>
    <row r="42" spans="3:25" x14ac:dyDescent="0.2">
      <c r="C42">
        <v>42</v>
      </c>
      <c r="D42" s="5" t="str">
        <f>_xlfn.XLOOKUP(TablaCondicionesParticulares[[#This Row],[ID Asig]],TablaDestino[ID Asig],TablaDestino[Módulo])</f>
        <v>Formación Específica en Tecnologías Marinas</v>
      </c>
      <c r="E42" s="30" t="s">
        <v>192</v>
      </c>
      <c r="F42" s="5" t="str">
        <f>_xlfn.XLOOKUP(TablaCondicionesParticulares[[#This Row],[ID Asig]],TablaDestino[ID Asig],TablaDestino[Asignatura])</f>
        <v>Instrumentación, Regulación y Control en el buque</v>
      </c>
      <c r="G42" s="5">
        <f>_xlfn.XLOOKUP(TablaCondicionesParticulares[[#This Row],[ID Asig]],TablaDestino[ID Asig],TablaDestino[Curso])</f>
        <v>4</v>
      </c>
      <c r="H42" s="5">
        <f>_xlfn.XLOOKUP(TablaCondicionesParticulares[[#This Row],[ID Asig]],TablaDestino[ID Asig],TablaDestino[Cuatr])</f>
        <v>1</v>
      </c>
      <c r="I42" s="5">
        <f>_xlfn.XLOOKUP(TablaCondicionesParticulares[[#This Row],[ID Asig]],TablaDestino[ID Asig],TablaDestino[ECTS],"")</f>
        <v>6</v>
      </c>
      <c r="J42" s="5" t="str">
        <f>_xlfn.XLOOKUP(TablaCondicionesParticulares[[#This Row],[ID Asig]],TablaDestino[ID Asig],TablaDestino[Tipo],"")</f>
        <v>Obligatoria</v>
      </c>
      <c r="R42" s="1" t="b">
        <f>AND(Tabla11[Cumple condición?],TablaCondicionesParticulares[[#This Row],[Asignaturas Adaptadas si Condicion 1]]="X")</f>
        <v>0</v>
      </c>
      <c r="S42" s="1" t="b">
        <f>AND(Tabla1113[Cumple condición?],TablaCondicionesParticulares[[#This Row],[Asignaturas Adaptadas si Condicion 2]]="X")</f>
        <v>0</v>
      </c>
      <c r="T42" s="1" t="b">
        <f>AND(Tabla111314[Cumple condición?],TablaCondicionesParticulares[[#This Row],[Asignaturas Adaptadas si Condicion 3]]="X")</f>
        <v>0</v>
      </c>
      <c r="U42" s="1"/>
      <c r="V42" s="1"/>
      <c r="W42" s="1"/>
      <c r="X42" s="1"/>
      <c r="Y42" s="1" t="str">
        <f>IF(OR(TablaCondicionesParticulares[[#This Row],[Adaptada por Condición 1]:[Adaptada por Condición 7]]),"SI","NO")</f>
        <v>NO</v>
      </c>
    </row>
    <row r="43" spans="3:25" x14ac:dyDescent="0.2">
      <c r="C43">
        <v>43</v>
      </c>
      <c r="D43" s="5" t="str">
        <f>_xlfn.XLOOKUP(TablaCondicionesParticulares[[#This Row],[ID Asig]],TablaDestino[ID Asig],TablaDestino[Módulo])</f>
        <v>Formación Específica en Tecnologías Marinas</v>
      </c>
      <c r="E43" s="30" t="s">
        <v>194</v>
      </c>
      <c r="F43" s="5" t="str">
        <f>_xlfn.XLOOKUP(TablaCondicionesParticulares[[#This Row],[ID Asig]],TablaDestino[ID Asig],TablaDestino[Asignatura])</f>
        <v xml:space="preserve">Tecnología Mecánica </v>
      </c>
      <c r="G43" s="5">
        <f>_xlfn.XLOOKUP(TablaCondicionesParticulares[[#This Row],[ID Asig]],TablaDestino[ID Asig],TablaDestino[Curso])</f>
        <v>4</v>
      </c>
      <c r="H43" s="5">
        <f>_xlfn.XLOOKUP(TablaCondicionesParticulares[[#This Row],[ID Asig]],TablaDestino[ID Asig],TablaDestino[Cuatr])</f>
        <v>1</v>
      </c>
      <c r="I43" s="5">
        <f>_xlfn.XLOOKUP(TablaCondicionesParticulares[[#This Row],[ID Asig]],TablaDestino[ID Asig],TablaDestino[ECTS],"")</f>
        <v>6</v>
      </c>
      <c r="J43" s="5" t="str">
        <f>_xlfn.XLOOKUP(TablaCondicionesParticulares[[#This Row],[ID Asig]],TablaDestino[ID Asig],TablaDestino[Tipo],"")</f>
        <v>Obligatoria</v>
      </c>
      <c r="R43" s="1" t="b">
        <f>AND(Tabla11[Cumple condición?],TablaCondicionesParticulares[[#This Row],[Asignaturas Adaptadas si Condicion 1]]="X")</f>
        <v>0</v>
      </c>
      <c r="S43" s="1" t="b">
        <f>AND(Tabla1113[Cumple condición?],TablaCondicionesParticulares[[#This Row],[Asignaturas Adaptadas si Condicion 2]]="X")</f>
        <v>0</v>
      </c>
      <c r="T43" s="1" t="b">
        <f>AND(Tabla111314[Cumple condición?],TablaCondicionesParticulares[[#This Row],[Asignaturas Adaptadas si Condicion 3]]="X")</f>
        <v>0</v>
      </c>
      <c r="U43" s="1"/>
      <c r="V43" s="1"/>
      <c r="W43" s="1"/>
      <c r="X43" s="1"/>
      <c r="Y43" s="1" t="str">
        <f>IF(OR(TablaCondicionesParticulares[[#This Row],[Adaptada por Condición 1]:[Adaptada por Condición 7]]),"SI","NO")</f>
        <v>NO</v>
      </c>
    </row>
    <row r="44" spans="3:25" x14ac:dyDescent="0.2">
      <c r="C44">
        <v>44</v>
      </c>
      <c r="D44" s="5" t="str">
        <f>_xlfn.XLOOKUP(TablaCondicionesParticulares[[#This Row],[ID Asig]],TablaDestino[ID Asig],TablaDestino[Módulo])</f>
        <v>Formación Específica en Tecnologías Marinas</v>
      </c>
      <c r="E44" s="30" t="s">
        <v>196</v>
      </c>
      <c r="F44" s="5" t="str">
        <f>_xlfn.XLOOKUP(TablaCondicionesParticulares[[#This Row],[ID Asig]],TablaDestino[ID Asig],TablaDestino[Asignatura])</f>
        <v>Termotecnia y Mecánica de Fluidos</v>
      </c>
      <c r="G44" s="5">
        <f>_xlfn.XLOOKUP(TablaCondicionesParticulares[[#This Row],[ID Asig]],TablaDestino[ID Asig],TablaDestino[Curso])</f>
        <v>2</v>
      </c>
      <c r="H44" s="5">
        <f>_xlfn.XLOOKUP(TablaCondicionesParticulares[[#This Row],[ID Asig]],TablaDestino[ID Asig],TablaDestino[Cuatr])</f>
        <v>2</v>
      </c>
      <c r="I44" s="5">
        <f>_xlfn.XLOOKUP(TablaCondicionesParticulares[[#This Row],[ID Asig]],TablaDestino[ID Asig],TablaDestino[ECTS],"")</f>
        <v>6</v>
      </c>
      <c r="J44" s="5" t="str">
        <f>_xlfn.XLOOKUP(TablaCondicionesParticulares[[#This Row],[ID Asig]],TablaDestino[ID Asig],TablaDestino[Tipo],"")</f>
        <v>Obligatoria</v>
      </c>
      <c r="R44" s="1" t="b">
        <f>AND(Tabla11[Cumple condición?],TablaCondicionesParticulares[[#This Row],[Asignaturas Adaptadas si Condicion 1]]="X")</f>
        <v>0</v>
      </c>
      <c r="S44" s="1" t="b">
        <f>AND(Tabla1113[Cumple condición?],TablaCondicionesParticulares[[#This Row],[Asignaturas Adaptadas si Condicion 2]]="X")</f>
        <v>0</v>
      </c>
      <c r="T44" s="1" t="b">
        <f>AND(Tabla111314[Cumple condición?],TablaCondicionesParticulares[[#This Row],[Asignaturas Adaptadas si Condicion 3]]="X")</f>
        <v>0</v>
      </c>
      <c r="U44" s="1"/>
      <c r="V44" s="1"/>
      <c r="W44" s="1"/>
      <c r="X44" s="1"/>
      <c r="Y44" s="1" t="str">
        <f>IF(OR(TablaCondicionesParticulares[[#This Row],[Adaptada por Condición 1]:[Adaptada por Condición 7]]),"SI","NO")</f>
        <v>NO</v>
      </c>
    </row>
    <row r="45" spans="3:25" x14ac:dyDescent="0.2">
      <c r="C45">
        <v>45</v>
      </c>
      <c r="D45" s="5" t="str">
        <f>_xlfn.XLOOKUP(TablaCondicionesParticulares[[#This Row],[ID Asig]],TablaDestino[ID Asig],TablaDestino[Módulo])</f>
        <v>Formación Específica en Tecnologías Marinas</v>
      </c>
      <c r="E45" s="30" t="s">
        <v>197</v>
      </c>
      <c r="F45" s="5" t="str">
        <f>_xlfn.XLOOKUP(TablaCondicionesParticulares[[#This Row],[ID Asig]],TablaDestino[ID Asig],TablaDestino[Asignatura])</f>
        <v>Mecánica y Resistencia de Materiales</v>
      </c>
      <c r="G45" s="5">
        <f>_xlfn.XLOOKUP(TablaCondicionesParticulares[[#This Row],[ID Asig]],TablaDestino[ID Asig],TablaDestino[Curso])</f>
        <v>2</v>
      </c>
      <c r="H45" s="5">
        <f>_xlfn.XLOOKUP(TablaCondicionesParticulares[[#This Row],[ID Asig]],TablaDestino[ID Asig],TablaDestino[Cuatr])</f>
        <v>2</v>
      </c>
      <c r="I45" s="5">
        <f>_xlfn.XLOOKUP(TablaCondicionesParticulares[[#This Row],[ID Asig]],TablaDestino[ID Asig],TablaDestino[ECTS],"")</f>
        <v>6</v>
      </c>
      <c r="J45" s="5" t="str">
        <f>_xlfn.XLOOKUP(TablaCondicionesParticulares[[#This Row],[ID Asig]],TablaDestino[ID Asig],TablaDestino[Tipo],"")</f>
        <v>Obligatoria</v>
      </c>
      <c r="R45" s="1" t="b">
        <f>AND(Tabla11[Cumple condición?],TablaCondicionesParticulares[[#This Row],[Asignaturas Adaptadas si Condicion 1]]="X")</f>
        <v>0</v>
      </c>
      <c r="S45" s="1" t="b">
        <f>AND(Tabla1113[Cumple condición?],TablaCondicionesParticulares[[#This Row],[Asignaturas Adaptadas si Condicion 2]]="X")</f>
        <v>0</v>
      </c>
      <c r="T45" s="1" t="b">
        <f>AND(Tabla111314[Cumple condición?],TablaCondicionesParticulares[[#This Row],[Asignaturas Adaptadas si Condicion 3]]="X")</f>
        <v>0</v>
      </c>
      <c r="U45" s="1"/>
      <c r="V45" s="1"/>
      <c r="W45" s="1"/>
      <c r="X45" s="1"/>
      <c r="Y45" s="1" t="str">
        <f>IF(OR(TablaCondicionesParticulares[[#This Row],[Adaptada por Condición 1]:[Adaptada por Condición 7]]),"SI","NO")</f>
        <v>NO</v>
      </c>
    </row>
    <row r="46" spans="3:25" x14ac:dyDescent="0.2">
      <c r="C46">
        <v>46</v>
      </c>
      <c r="D46" s="5" t="str">
        <f>_xlfn.XLOOKUP(TablaCondicionesParticulares[[#This Row],[ID Asig]],TablaDestino[ID Asig],TablaDestino[Módulo])</f>
        <v>Formación Específica en Tecnologías Marinas</v>
      </c>
      <c r="E46" s="30" t="s">
        <v>199</v>
      </c>
      <c r="F46" s="5" t="str">
        <f>_xlfn.XLOOKUP(TablaCondicionesParticulares[[#This Row],[ID Asig]],TablaDestino[ID Asig],TablaDestino[Asignatura])</f>
        <v xml:space="preserve">Ciencia y Técnica de los Materiales </v>
      </c>
      <c r="G46" s="5">
        <f>_xlfn.XLOOKUP(TablaCondicionesParticulares[[#This Row],[ID Asig]],TablaDestino[ID Asig],TablaDestino[Curso])</f>
        <v>3</v>
      </c>
      <c r="H46" s="5">
        <f>_xlfn.XLOOKUP(TablaCondicionesParticulares[[#This Row],[ID Asig]],TablaDestino[ID Asig],TablaDestino[Cuatr])</f>
        <v>1</v>
      </c>
      <c r="I46" s="5">
        <f>_xlfn.XLOOKUP(TablaCondicionesParticulares[[#This Row],[ID Asig]],TablaDestino[ID Asig],TablaDestino[ECTS],"")</f>
        <v>6</v>
      </c>
      <c r="J46" s="5" t="str">
        <f>_xlfn.XLOOKUP(TablaCondicionesParticulares[[#This Row],[ID Asig]],TablaDestino[ID Asig],TablaDestino[Tipo],"")</f>
        <v>Obligatoria</v>
      </c>
      <c r="R46" s="1" t="b">
        <f>AND(Tabla11[Cumple condición?],TablaCondicionesParticulares[[#This Row],[Asignaturas Adaptadas si Condicion 1]]="X")</f>
        <v>0</v>
      </c>
      <c r="S46" s="1" t="b">
        <f>AND(Tabla1113[Cumple condición?],TablaCondicionesParticulares[[#This Row],[Asignaturas Adaptadas si Condicion 2]]="X")</f>
        <v>0</v>
      </c>
      <c r="T46" s="1" t="b">
        <f>AND(Tabla111314[Cumple condición?],TablaCondicionesParticulares[[#This Row],[Asignaturas Adaptadas si Condicion 3]]="X")</f>
        <v>0</v>
      </c>
      <c r="U46" s="1"/>
      <c r="V46" s="1"/>
      <c r="W46" s="1"/>
      <c r="X46" s="1"/>
      <c r="Y46" s="1" t="str">
        <f>IF(OR(TablaCondicionesParticulares[[#This Row],[Adaptada por Condición 1]:[Adaptada por Condición 7]]),"SI","NO")</f>
        <v>NO</v>
      </c>
    </row>
    <row r="47" spans="3:25" x14ac:dyDescent="0.2">
      <c r="C47">
        <v>22</v>
      </c>
      <c r="D47" s="5" t="str">
        <f>_xlfn.XLOOKUP(TablaCondicionesParticulares[[#This Row],[ID Asig]],TablaDestino[ID Asig],TablaDestino[Módulo])</f>
        <v>Formación Específica en Tecnologías Marinas</v>
      </c>
      <c r="E47" s="30" t="s">
        <v>201</v>
      </c>
      <c r="F47" s="5" t="str">
        <f>_xlfn.XLOOKUP(TablaCondicionesParticulares[[#This Row],[ID Asig]],TablaDestino[ID Asig],TablaDestino[Asignatura])</f>
        <v>Operaciones Avanzadas en Buques Tanque</v>
      </c>
      <c r="G47" s="5">
        <f>_xlfn.XLOOKUP(TablaCondicionesParticulares[[#This Row],[ID Asig]],TablaDestino[ID Asig],TablaDestino[Curso])</f>
        <v>3</v>
      </c>
      <c r="H47" s="5">
        <f>_xlfn.XLOOKUP(TablaCondicionesParticulares[[#This Row],[ID Asig]],TablaDestino[ID Asig],TablaDestino[Cuatr])</f>
        <v>0</v>
      </c>
      <c r="I47" s="5">
        <f>_xlfn.XLOOKUP(TablaCondicionesParticulares[[#This Row],[ID Asig]],TablaDestino[ID Asig],TablaDestino[ECTS],"")</f>
        <v>12</v>
      </c>
      <c r="J47" s="5" t="str">
        <f>_xlfn.XLOOKUP(TablaCondicionesParticulares[[#This Row],[ID Asig]],TablaDestino[ID Asig],TablaDestino[Tipo],"")</f>
        <v>Obligatoria</v>
      </c>
      <c r="R47" s="1" t="b">
        <f>AND(Tabla11[Cumple condición?],TablaCondicionesParticulares[[#This Row],[Asignaturas Adaptadas si Condicion 1]]="X")</f>
        <v>0</v>
      </c>
      <c r="S47" s="1" t="b">
        <f>AND(Tabla1113[Cumple condición?],TablaCondicionesParticulares[[#This Row],[Asignaturas Adaptadas si Condicion 2]]="X")</f>
        <v>0</v>
      </c>
      <c r="T47" s="1" t="b">
        <f>AND(Tabla111314[Cumple condición?],TablaCondicionesParticulares[[#This Row],[Asignaturas Adaptadas si Condicion 3]]="X")</f>
        <v>0</v>
      </c>
      <c r="U47" s="1"/>
      <c r="V47" s="1"/>
      <c r="W47" s="1"/>
      <c r="X47" s="1"/>
      <c r="Y47" s="1" t="str">
        <f>IF(OR(TablaCondicionesParticulares[[#This Row],[Adaptada por Condición 1]:[Adaptada por Condición 7]]),"SI","NO")</f>
        <v>NO</v>
      </c>
    </row>
    <row r="48" spans="3:25" x14ac:dyDescent="0.2">
      <c r="E48" s="5" t="s">
        <v>55</v>
      </c>
      <c r="F48" s="5" t="s">
        <v>218</v>
      </c>
      <c r="G48" s="5"/>
      <c r="H48" s="5"/>
      <c r="I48" s="5"/>
      <c r="J48" s="5"/>
      <c r="R48" s="40" t="b">
        <f>AND(Tabla11[Cumple condición?],TablaCondicionesParticulares[[#This Row],[Asignaturas Adaptadas si Condicion 1]]="X")</f>
        <v>0</v>
      </c>
      <c r="S48" s="40" t="b">
        <f>AND(Tabla1113[Cumple condición?],TablaCondicionesParticulares[[#This Row],[Asignaturas Adaptadas si Condicion 2]]="X")</f>
        <v>0</v>
      </c>
      <c r="T48" s="40" t="b">
        <f>AND(Tabla111314[Cumple condición?],TablaCondicionesParticulares[[#This Row],[Asignaturas Adaptadas si Condicion 3]]="X")</f>
        <v>0</v>
      </c>
      <c r="U48" s="40"/>
      <c r="V48" s="40"/>
      <c r="W48" s="40"/>
      <c r="X48" s="40"/>
      <c r="Y48" s="40" t="str">
        <f>IF(OR(TablaCondicionesParticulares[[#This Row],[Adaptada por Condición 1]:[Adaptada por Condición 7]]),"SI","NO")</f>
        <v>NO</v>
      </c>
    </row>
    <row r="49" spans="3:25" x14ac:dyDescent="0.2">
      <c r="E49" s="5" t="s">
        <v>56</v>
      </c>
      <c r="F49" s="5" t="s">
        <v>218</v>
      </c>
      <c r="G49" s="5"/>
      <c r="H49" s="5"/>
      <c r="I49" s="5"/>
      <c r="J49" s="5"/>
      <c r="R49" s="1" t="b">
        <f>AND(Tabla11[Cumple condición?],TablaCondicionesParticulares[[#This Row],[Asignaturas Adaptadas si Condicion 1]]="X")</f>
        <v>0</v>
      </c>
      <c r="S49" s="1" t="b">
        <f>AND(Tabla1113[Cumple condición?],TablaCondicionesParticulares[[#This Row],[Asignaturas Adaptadas si Condicion 2]]="X")</f>
        <v>0</v>
      </c>
      <c r="T49" s="1" t="b">
        <f>AND(Tabla111314[Cumple condición?],TablaCondicionesParticulares[[#This Row],[Asignaturas Adaptadas si Condicion 3]]="X")</f>
        <v>0</v>
      </c>
      <c r="U49" s="1"/>
      <c r="V49" s="1"/>
      <c r="W49" s="1"/>
      <c r="X49" s="1"/>
      <c r="Y49" s="1" t="str">
        <f>IF(OR(TablaCondicionesParticulares[[#This Row],[Adaptada por Condición 1]:[Adaptada por Condición 7]]),"SI","NO")</f>
        <v>NO</v>
      </c>
    </row>
    <row r="50" spans="3:25" x14ac:dyDescent="0.2">
      <c r="E50" s="5" t="s">
        <v>291</v>
      </c>
      <c r="F50" s="5" t="s">
        <v>218</v>
      </c>
      <c r="G50" s="5"/>
      <c r="H50" s="5"/>
      <c r="I50" s="5"/>
      <c r="J50" s="5"/>
      <c r="R50" s="1" t="b">
        <f>AND(Tabla11[Cumple condición?],TablaCondicionesParticulares[[#This Row],[Asignaturas Adaptadas si Condicion 1]]="X")</f>
        <v>0</v>
      </c>
      <c r="S50" s="1" t="b">
        <f>AND(Tabla1113[Cumple condición?],TablaCondicionesParticulares[[#This Row],[Asignaturas Adaptadas si Condicion 2]]="X")</f>
        <v>0</v>
      </c>
      <c r="T50" s="1" t="b">
        <f>AND(Tabla111314[Cumple condición?],TablaCondicionesParticulares[[#This Row],[Asignaturas Adaptadas si Condicion 3]]="X")</f>
        <v>0</v>
      </c>
      <c r="U50" s="1"/>
      <c r="V50" s="1"/>
      <c r="W50" s="1"/>
      <c r="X50" s="1"/>
      <c r="Y50" s="1" t="str">
        <f>IF(OR(TablaCondicionesParticulares[[#This Row],[Adaptada por Condición 1]:[Adaptada por Condición 7]]),"SI","NO")</f>
        <v>NO</v>
      </c>
    </row>
    <row r="51" spans="3:25" x14ac:dyDescent="0.2">
      <c r="E51" s="5" t="s">
        <v>292</v>
      </c>
      <c r="F51" s="5" t="s">
        <v>218</v>
      </c>
      <c r="G51" s="5"/>
      <c r="H51" s="5"/>
      <c r="I51" s="5"/>
      <c r="J51" s="5"/>
      <c r="R51" s="1" t="b">
        <f>AND(Tabla11[Cumple condición?],TablaCondicionesParticulares[[#This Row],[Asignaturas Adaptadas si Condicion 1]]="X")</f>
        <v>0</v>
      </c>
      <c r="S51" s="1" t="b">
        <f>AND(Tabla1113[Cumple condición?],TablaCondicionesParticulares[[#This Row],[Asignaturas Adaptadas si Condicion 2]]="X")</f>
        <v>0</v>
      </c>
      <c r="T51" s="1" t="b">
        <f>AND(Tabla111314[Cumple condición?],TablaCondicionesParticulares[[#This Row],[Asignaturas Adaptadas si Condicion 3]]="X")</f>
        <v>0</v>
      </c>
      <c r="U51" s="1"/>
      <c r="V51" s="1"/>
      <c r="W51" s="1"/>
      <c r="X51" s="1"/>
      <c r="Y51" s="1" t="str">
        <f>IF(OR(TablaCondicionesParticulares[[#This Row],[Adaptada por Condición 1]:[Adaptada por Condición 7]]),"SI","NO")</f>
        <v>NO</v>
      </c>
    </row>
    <row r="53" spans="3:25" x14ac:dyDescent="0.2">
      <c r="C53" s="1" t="s">
        <v>60</v>
      </c>
      <c r="D53" s="1">
        <v>1</v>
      </c>
    </row>
    <row r="54" spans="3:25" x14ac:dyDescent="0.2">
      <c r="C54" s="1" t="s">
        <v>62</v>
      </c>
      <c r="D54" s="1" t="s">
        <v>289</v>
      </c>
    </row>
    <row r="56" spans="3:25" x14ac:dyDescent="0.2">
      <c r="D56" s="25" t="s">
        <v>93</v>
      </c>
      <c r="E56" s="16" t="s">
        <v>67</v>
      </c>
    </row>
    <row r="57" spans="3:25" x14ac:dyDescent="0.2">
      <c r="D57" s="15">
        <f>SUMIFS(TablaOrigen[ECTS],TablaOrigen[Curso],1,TablaOrigen[Asignatura a procesar?],"SI")+SUMIFS(TablaOrigen[ECTS],TablaOrigen[Curso],2,TablaOrigen[Asignatura a procesar?],"SI")</f>
        <v>0</v>
      </c>
      <c r="E57" t="b">
        <f>Tabla11[[#This Row],[ECTS 1 y 2]]&gt;=90</f>
        <v>0</v>
      </c>
    </row>
    <row r="60" spans="3:25" x14ac:dyDescent="0.2">
      <c r="C60" s="1" t="s">
        <v>60</v>
      </c>
      <c r="D60" s="1">
        <v>2</v>
      </c>
    </row>
    <row r="61" spans="3:25" x14ac:dyDescent="0.2">
      <c r="C61" s="1" t="s">
        <v>62</v>
      </c>
      <c r="D61" s="1" t="s">
        <v>345</v>
      </c>
    </row>
    <row r="63" spans="3:25" x14ac:dyDescent="0.2">
      <c r="D63" s="25" t="s">
        <v>346</v>
      </c>
      <c r="E63" s="16" t="s">
        <v>67</v>
      </c>
    </row>
    <row r="64" spans="3:25" x14ac:dyDescent="0.2">
      <c r="D64" s="15">
        <f>SUMIFS(TablaOrigen[ECTS],TablaOrigen[Curso],3,TablaOrigen[Asignatura a procesar?],"SI")</f>
        <v>0</v>
      </c>
      <c r="E64" t="b">
        <f>Tabla1113[[#This Row],[ECTS 3]]&gt;=60</f>
        <v>0</v>
      </c>
    </row>
    <row r="66" spans="3:8" x14ac:dyDescent="0.2">
      <c r="C66" s="1" t="s">
        <v>60</v>
      </c>
      <c r="D66" s="1">
        <v>3</v>
      </c>
    </row>
    <row r="67" spans="3:8" x14ac:dyDescent="0.2">
      <c r="C67" s="1" t="s">
        <v>62</v>
      </c>
      <c r="D67" s="1"/>
    </row>
    <row r="69" spans="3:8" x14ac:dyDescent="0.2">
      <c r="D69" s="13" t="s">
        <v>66</v>
      </c>
      <c r="E69" s="25" t="s">
        <v>93</v>
      </c>
      <c r="F69" s="25" t="s">
        <v>98</v>
      </c>
      <c r="G69" s="14" t="s">
        <v>2</v>
      </c>
      <c r="H69" s="16" t="s">
        <v>67</v>
      </c>
    </row>
    <row r="70" spans="3:8" x14ac:dyDescent="0.2">
      <c r="D70" s="15">
        <f>SUMIFS(TablaOrigen[ECTS],TablaOrigen[Asignatura a procesar?],"SI")</f>
        <v>0</v>
      </c>
      <c r="E70" s="15">
        <f>SUMIFS(TablaOrigen[ECTS],TablaOrigen[Curso],1,TablaOrigen[Asignatura a procesar?],"SI")+SUMIFS(TablaOrigen[ECTS],TablaOrigen[Curso],2,TablaOrigen[Asignatura a procesar?],"SI")</f>
        <v>0</v>
      </c>
      <c r="F70" s="15">
        <f>SUMIFS(TablaOrigen[ECTS],TablaOrigen[Curso],3,TablaOrigen[Ofertada],Tabla111314[[#This Row],[Especialidad]],TablaOrigen[Asignatura a procesar?],"SI")</f>
        <v>0</v>
      </c>
      <c r="G70" s="2" t="s">
        <v>28</v>
      </c>
      <c r="H70" t="b">
        <f>AND(Tabla111314[[#This Row],[ECTS Superados en Origen]]&gt;=168,Tabla111314[[#This Row],[ECTS 1 y 2]]=120,Tabla111314[[#This Row],[Especialidad]]=Simulador!E3)</f>
        <v>0</v>
      </c>
    </row>
    <row r="73" spans="3:8" x14ac:dyDescent="0.2">
      <c r="C73" s="1" t="s">
        <v>60</v>
      </c>
      <c r="D73" s="1">
        <v>4</v>
      </c>
    </row>
    <row r="74" spans="3:8" x14ac:dyDescent="0.2">
      <c r="C74" s="1" t="s">
        <v>62</v>
      </c>
      <c r="D74" s="1"/>
    </row>
    <row r="76" spans="3:8" x14ac:dyDescent="0.2">
      <c r="D76" s="13" t="s">
        <v>99</v>
      </c>
      <c r="E76" s="13" t="s">
        <v>100</v>
      </c>
      <c r="F76" s="16" t="s">
        <v>67</v>
      </c>
    </row>
    <row r="77" spans="3:8" x14ac:dyDescent="0.2">
      <c r="D77" s="15"/>
      <c r="E77" s="15"/>
    </row>
    <row r="80" spans="3:8" x14ac:dyDescent="0.2">
      <c r="C80" s="1" t="s">
        <v>60</v>
      </c>
      <c r="D80" s="1">
        <v>5</v>
      </c>
    </row>
    <row r="81" spans="3:6" x14ac:dyDescent="0.2">
      <c r="C81" s="1" t="s">
        <v>62</v>
      </c>
      <c r="D81" s="1"/>
    </row>
    <row r="83" spans="3:6" x14ac:dyDescent="0.2">
      <c r="D83" s="13" t="s">
        <v>99</v>
      </c>
      <c r="E83" s="13" t="s">
        <v>100</v>
      </c>
      <c r="F83" s="16" t="s">
        <v>67</v>
      </c>
    </row>
    <row r="84" spans="3:6" x14ac:dyDescent="0.2">
      <c r="D84" s="15"/>
      <c r="F84" s="16"/>
    </row>
    <row r="86" spans="3:6" x14ac:dyDescent="0.2">
      <c r="C86" s="1" t="s">
        <v>60</v>
      </c>
      <c r="D86" s="1">
        <v>6</v>
      </c>
    </row>
    <row r="87" spans="3:6" x14ac:dyDescent="0.2">
      <c r="C87" s="1" t="s">
        <v>62</v>
      </c>
      <c r="D87" s="1"/>
    </row>
    <row r="89" spans="3:6" x14ac:dyDescent="0.2">
      <c r="D89" s="13" t="s">
        <v>99</v>
      </c>
      <c r="E89" s="13" t="s">
        <v>100</v>
      </c>
      <c r="F89" s="16" t="s">
        <v>67</v>
      </c>
    </row>
    <row r="90" spans="3:6" x14ac:dyDescent="0.2">
      <c r="D90" s="15"/>
      <c r="E90" s="2"/>
      <c r="F90" s="16"/>
    </row>
  </sheetData>
  <phoneticPr fontId="15" type="noConversion"/>
  <pageMargins left="0.7" right="0.7" top="0.75" bottom="0.75" header="0.3" footer="0.3"/>
  <pageSetup paperSize="9" orientation="portrait" horizontalDpi="0" verticalDpi="0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62778-1298-C443-BBD4-E07AA8CDC83D}">
  <dimension ref="B4:H9"/>
  <sheetViews>
    <sheetView workbookViewId="0">
      <selection activeCell="D48" sqref="D48"/>
    </sheetView>
  </sheetViews>
  <sheetFormatPr baseColWidth="10" defaultRowHeight="16" x14ac:dyDescent="0.2"/>
  <cols>
    <col min="2" max="2" width="34.1640625" customWidth="1"/>
    <col min="3" max="7" width="24.83203125" customWidth="1"/>
  </cols>
  <sheetData>
    <row r="4" spans="2:8" x14ac:dyDescent="0.2">
      <c r="C4" s="106" t="s">
        <v>95</v>
      </c>
      <c r="D4" s="106"/>
      <c r="E4" s="106"/>
      <c r="F4" s="106"/>
      <c r="G4" s="106"/>
    </row>
    <row r="5" spans="2:8" x14ac:dyDescent="0.2">
      <c r="B5" t="s">
        <v>92</v>
      </c>
      <c r="C5" t="s">
        <v>94</v>
      </c>
      <c r="D5" t="s">
        <v>96</v>
      </c>
      <c r="E5" t="s">
        <v>293</v>
      </c>
      <c r="F5" t="s">
        <v>347</v>
      </c>
      <c r="G5" t="s">
        <v>348</v>
      </c>
      <c r="H5" t="s">
        <v>55</v>
      </c>
    </row>
    <row r="6" spans="2:8" x14ac:dyDescent="0.2">
      <c r="B6" t="s">
        <v>55</v>
      </c>
      <c r="C6">
        <f>SUMIFS(TablaOrigen[ECTS],TablaOrigen[Asignatura a procesar?],"SI")</f>
        <v>0</v>
      </c>
      <c r="D6">
        <f>SUMIFS(TablaDestino[ECTS],TablaDestino[Adaptada],"SI")</f>
        <v>0</v>
      </c>
      <c r="E6">
        <f>SUMIFS(TablaAdaptacionporasignatura[ECTS],TablaAdaptacionporasignatura[ID Modulo],"M4",TablaAdaptacionporasignatura[Asignatura Adaptada?],"SI")</f>
        <v>0</v>
      </c>
      <c r="F6">
        <f>ROUND((24-TablaAdaptacionOptativas[[#This Row],[ECTS Optativos ya adaptados]])/6,0)</f>
        <v>4</v>
      </c>
      <c r="G6">
        <f>MIN(TablaAdaptacionOptativas[[#This Row],[Optativas restantes]],ROUND((TablaAdaptacionOptativas[[#This Row],[ECTS  Superados en Origen]]-TablaAdaptacionOptativas[[#This Row],[ECTS En Destino]])/6,0))</f>
        <v>0</v>
      </c>
      <c r="H6" t="str">
        <f>IF(AND(TablaAdaptacionOptativas[[#This Row],[Codigo Asignatura]]="Opt1",TablaAdaptacionOptativas[[#This Row],[Optativas plausibles]]&gt;=1),"SI",
IF(AND(TablaAdaptacionOptativas[[#This Row],[Codigo Asignatura]]="Opt2",TablaAdaptacionOptativas[[#This Row],[Optativas plausibles]]&gt;=9),"SI",
IF(AND(TablaAdaptacionOptativas[[#This Row],[Codigo Asignatura]]="Opt3",TablaAdaptacionOptativas[[#This Row],[Optativas plausibles]]&gt;=15),"SI",
IF(AND(TablaAdaptacionOptativas[[#This Row],[Codigo Asignatura]]="Opt4",TablaAdaptacionOptativas[[#This Row],[Optativas plausibles]]&gt;=21),"SI",
"NO"))))</f>
        <v>NO</v>
      </c>
    </row>
    <row r="7" spans="2:8" x14ac:dyDescent="0.2">
      <c r="B7" t="s">
        <v>56</v>
      </c>
      <c r="C7">
        <f>SUMIFS(TablaOrigen[ECTS],TablaOrigen[Asignatura a procesar?],"SI")</f>
        <v>0</v>
      </c>
      <c r="D7">
        <f>SUMIFS(TablaDestino[ECTS],TablaDestino[Adaptada],"SI")</f>
        <v>0</v>
      </c>
      <c r="E7">
        <f>SUMIFS(TablaAdaptacionporasignatura[ECTS],TablaAdaptacionporasignatura[ID Modulo],"M4",TablaAdaptacionporasignatura[Asignatura Adaptada?],"SI")</f>
        <v>0</v>
      </c>
      <c r="F7">
        <f>ROUND((24-TablaAdaptacionOptativas[[#This Row],[ECTS Optativos ya adaptados]])/6,0)</f>
        <v>4</v>
      </c>
      <c r="G7">
        <f>MIN(TablaAdaptacionOptativas[[#This Row],[Optativas restantes]],ROUND((TablaAdaptacionOptativas[[#This Row],[ECTS  Superados en Origen]]-TablaAdaptacionOptativas[[#This Row],[ECTS En Destino]])/6,0))</f>
        <v>0</v>
      </c>
      <c r="H7" t="str">
        <f>IF(AND(TablaAdaptacionOptativas[[#This Row],[Codigo Asignatura]]="Opt2",TablaAdaptacionOptativas[[#This Row],[Optativas plausibles]]&gt;=2),"SI",
IF(AND(TablaAdaptacionOptativas[[#This Row],[Codigo Asignatura]]="Opt2",TablaAdaptacionOptativas[[#This Row],[Optativas plausibles]]&gt;=9),"SI",
IF(AND(TablaAdaptacionOptativas[[#This Row],[Codigo Asignatura]]="Opt3",TablaAdaptacionOptativas[[#This Row],[Optativas plausibles]]&gt;=15),"SI",
IF(AND(TablaAdaptacionOptativas[[#This Row],[Codigo Asignatura]]="Opt4",TablaAdaptacionOptativas[[#This Row],[Optativas plausibles]]&gt;=21),"SI",
"NO"))))</f>
        <v>NO</v>
      </c>
    </row>
    <row r="8" spans="2:8" x14ac:dyDescent="0.2">
      <c r="B8" t="s">
        <v>291</v>
      </c>
      <c r="C8">
        <f>SUMIFS(TablaOrigen[ECTS],TablaOrigen[Asignatura a procesar?],"SI")</f>
        <v>0</v>
      </c>
      <c r="D8">
        <f>SUMIFS(TablaDestino[ECTS],TablaDestino[Adaptada],"SI")</f>
        <v>0</v>
      </c>
      <c r="E8">
        <f>SUMIFS(TablaAdaptacionporasignatura[ECTS],TablaAdaptacionporasignatura[ID Modulo],"M4",TablaAdaptacionporasignatura[Asignatura Adaptada?],"SI")</f>
        <v>0</v>
      </c>
      <c r="F8">
        <f>ROUND((24-TablaAdaptacionOptativas[[#This Row],[ECTS Optativos ya adaptados]])/6,0)</f>
        <v>4</v>
      </c>
      <c r="G8">
        <f>MIN(TablaAdaptacionOptativas[[#This Row],[Optativas restantes]],ROUND((TablaAdaptacionOptativas[[#This Row],[ECTS  Superados en Origen]]-TablaAdaptacionOptativas[[#This Row],[ECTS En Destino]])/6,0))</f>
        <v>0</v>
      </c>
      <c r="H8" t="str">
        <f>IF(AND(TablaAdaptacionOptativas[[#This Row],[Codigo Asignatura]]="Opt3",TablaAdaptacionOptativas[[#This Row],[Optativas plausibles]]&gt;=3),"SI",
IF(AND(TablaAdaptacionOptativas[[#This Row],[Codigo Asignatura]]="Opt2",TablaAdaptacionOptativas[[#This Row],[Optativas plausibles]]&gt;=9),"SI",
IF(AND(TablaAdaptacionOptativas[[#This Row],[Codigo Asignatura]]="Opt3",TablaAdaptacionOptativas[[#This Row],[Optativas plausibles]]&gt;=15),"SI",
IF(AND(TablaAdaptacionOptativas[[#This Row],[Codigo Asignatura]]="Opt4",TablaAdaptacionOptativas[[#This Row],[Optativas plausibles]]&gt;=21),"SI",
"NO"))))</f>
        <v>NO</v>
      </c>
    </row>
    <row r="9" spans="2:8" x14ac:dyDescent="0.2">
      <c r="B9" t="s">
        <v>292</v>
      </c>
      <c r="C9">
        <f>SUMIFS(TablaOrigen[ECTS],TablaOrigen[Asignatura a procesar?],"SI")</f>
        <v>0</v>
      </c>
      <c r="D9">
        <f>SUMIFS(TablaDestino[ECTS],TablaDestino[Adaptada],"SI")</f>
        <v>0</v>
      </c>
      <c r="E9">
        <f>SUMIFS(TablaAdaptacionporasignatura[ECTS],TablaAdaptacionporasignatura[ID Modulo],"M4",TablaAdaptacionporasignatura[Asignatura Adaptada?],"SI")</f>
        <v>0</v>
      </c>
      <c r="F9">
        <f>ROUND((24-TablaAdaptacionOptativas[[#This Row],[ECTS Optativos ya adaptados]])/6,0)</f>
        <v>4</v>
      </c>
      <c r="G9">
        <f>MIN(TablaAdaptacionOptativas[[#This Row],[Optativas restantes]],ROUND((TablaAdaptacionOptativas[[#This Row],[ECTS  Superados en Origen]]-TablaAdaptacionOptativas[[#This Row],[ECTS En Destino]])/6,0))</f>
        <v>0</v>
      </c>
      <c r="H9" t="str">
        <f>IF(AND(TablaAdaptacionOptativas[[#This Row],[Codigo Asignatura]]="Opt4",TablaAdaptacionOptativas[[#This Row],[Optativas plausibles]]&gt;=4),"SI",
IF(AND(TablaAdaptacionOptativas[[#This Row],[Codigo Asignatura]]="Opt2",TablaAdaptacionOptativas[[#This Row],[Optativas plausibles]]&gt;=9),"SI",
IF(AND(TablaAdaptacionOptativas[[#This Row],[Codigo Asignatura]]="Opt3",TablaAdaptacionOptativas[[#This Row],[Optativas plausibles]]&gt;=15),"SI",
IF(AND(TablaAdaptacionOptativas[[#This Row],[Codigo Asignatura]]="Opt4",TablaAdaptacionOptativas[[#This Row],[Optativas plausibles]]&gt;=21),"SI",
"NO"))))</f>
        <v>NO</v>
      </c>
    </row>
  </sheetData>
  <mergeCells count="1">
    <mergeCell ref="C4:G4"/>
  </mergeCells>
  <phoneticPr fontId="15" type="noConversion"/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7A23D-ECB6-814C-AC76-10663494A97C}">
  <dimension ref="B8:C21"/>
  <sheetViews>
    <sheetView workbookViewId="0">
      <selection activeCell="D48" sqref="D48"/>
    </sheetView>
  </sheetViews>
  <sheetFormatPr baseColWidth="10" defaultRowHeight="16" x14ac:dyDescent="0.2"/>
  <sheetData>
    <row r="8" spans="2:3" x14ac:dyDescent="0.2">
      <c r="C8" t="s">
        <v>25</v>
      </c>
    </row>
    <row r="9" spans="2:3" x14ac:dyDescent="0.2">
      <c r="B9" t="s">
        <v>38</v>
      </c>
      <c r="C9" t="s">
        <v>27</v>
      </c>
    </row>
    <row r="10" spans="2:3" x14ac:dyDescent="0.2">
      <c r="B10" t="s">
        <v>39</v>
      </c>
      <c r="C10" t="s">
        <v>28</v>
      </c>
    </row>
    <row r="11" spans="2:3" x14ac:dyDescent="0.2">
      <c r="C11" s="2"/>
    </row>
    <row r="15" spans="2:3" x14ac:dyDescent="0.2">
      <c r="C15" s="2"/>
    </row>
    <row r="17" spans="3:3" x14ac:dyDescent="0.2">
      <c r="C17" s="2"/>
    </row>
    <row r="20" spans="3:3" x14ac:dyDescent="0.2">
      <c r="C20" s="2"/>
    </row>
    <row r="21" spans="3:3" x14ac:dyDescent="0.2">
      <c r="C2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Simulador</vt:lpstr>
      <vt:lpstr>Certificados de Suficiencia</vt:lpstr>
      <vt:lpstr>TablaAdaptaciónAsignaturas</vt:lpstr>
      <vt:lpstr>TablaAdaptacionModulos</vt:lpstr>
      <vt:lpstr>TablaAdaptaciónCondParticulares</vt:lpstr>
      <vt:lpstr>Tabla Adaptacion Optativas</vt:lpstr>
      <vt:lpstr>Especialidades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ASIER ZUBIZARRETA PICO</dc:creator>
  <cp:lastModifiedBy>ASIER ZUBIZARRETA PICO</cp:lastModifiedBy>
  <cp:lastPrinted>2025-03-11T14:23:43Z</cp:lastPrinted>
  <dcterms:created xsi:type="dcterms:W3CDTF">2025-03-03T10:53:06Z</dcterms:created>
  <dcterms:modified xsi:type="dcterms:W3CDTF">2026-03-30T13:29:20Z</dcterms:modified>
</cp:coreProperties>
</file>